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sus\документы\Отделы\Отдел Земельный\2020\СПИСКИ\для сайта листопад\"/>
    </mc:Choice>
  </mc:AlternateContent>
  <bookViews>
    <workbookView xWindow="0" yWindow="0" windowWidth="17550" windowHeight="9330"/>
  </bookViews>
  <sheets>
    <sheet name="оренда" sheetId="1" r:id="rId1"/>
    <sheet name=" Борги на 20.05.20" sheetId="8" state="hidden" r:id="rId2"/>
  </sheets>
  <calcPr calcId="162913"/>
</workbook>
</file>

<file path=xl/calcChain.xml><?xml version="1.0" encoding="utf-8"?>
<calcChain xmlns="http://schemas.openxmlformats.org/spreadsheetml/2006/main">
  <c r="M8" i="1" l="1"/>
  <c r="L10" i="1"/>
  <c r="L13" i="1"/>
  <c r="L23" i="1"/>
  <c r="L24" i="1"/>
  <c r="L30" i="1"/>
  <c r="L33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M58" i="1"/>
  <c r="L59" i="1"/>
  <c r="L60" i="1"/>
  <c r="L61" i="1"/>
  <c r="L62" i="1"/>
  <c r="L63" i="1"/>
  <c r="L64" i="1"/>
  <c r="L65" i="1"/>
  <c r="L70" i="1"/>
  <c r="L71" i="1"/>
  <c r="L76" i="1"/>
  <c r="L81" i="1"/>
  <c r="L82" i="1"/>
  <c r="L83" i="1"/>
  <c r="L95" i="1"/>
  <c r="L96" i="1"/>
  <c r="O97" i="1"/>
  <c r="L104" i="1"/>
  <c r="M112" i="1"/>
  <c r="M113" i="1"/>
  <c r="M114" i="1"/>
  <c r="L115" i="1"/>
  <c r="L116" i="1"/>
  <c r="L119" i="1"/>
  <c r="L120" i="1"/>
  <c r="L121" i="1"/>
  <c r="L122" i="1"/>
  <c r="M123" i="1"/>
  <c r="L124" i="1"/>
  <c r="L125" i="1"/>
  <c r="L126" i="1"/>
  <c r="L127" i="1"/>
  <c r="L128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2" i="1"/>
  <c r="L143" i="1"/>
  <c r="L144" i="1"/>
  <c r="L147" i="1"/>
  <c r="L148" i="1"/>
  <c r="L150" i="1"/>
  <c r="L151" i="1"/>
  <c r="L155" i="1"/>
  <c r="L156" i="1"/>
  <c r="L157" i="1"/>
  <c r="L158" i="1"/>
  <c r="L159" i="1"/>
  <c r="L160" i="1"/>
  <c r="L161" i="1"/>
  <c r="L165" i="1"/>
  <c r="L167" i="1"/>
  <c r="L172" i="1"/>
  <c r="L174" i="1"/>
  <c r="L176" i="1"/>
  <c r="L178" i="1"/>
  <c r="L179" i="1"/>
  <c r="L180" i="1"/>
  <c r="L181" i="1"/>
  <c r="L184" i="1"/>
  <c r="L186" i="1"/>
  <c r="L187" i="1"/>
  <c r="M188" i="1"/>
  <c r="L190" i="1"/>
  <c r="L192" i="1"/>
  <c r="L198" i="1"/>
  <c r="L199" i="1"/>
  <c r="L207" i="1"/>
  <c r="L208" i="1"/>
  <c r="L209" i="1"/>
  <c r="L210" i="1"/>
  <c r="L212" i="1"/>
  <c r="L215" i="1"/>
  <c r="L224" i="1"/>
  <c r="L225" i="1"/>
  <c r="L229" i="1"/>
  <c r="L231" i="1"/>
  <c r="L232" i="1"/>
  <c r="L234" i="1"/>
  <c r="L235" i="1"/>
  <c r="L236" i="1"/>
  <c r="L238" i="1"/>
  <c r="L239" i="1"/>
  <c r="M240" i="1"/>
  <c r="L241" i="1"/>
  <c r="L244" i="1"/>
  <c r="L245" i="1"/>
  <c r="L247" i="1"/>
  <c r="L248" i="1"/>
  <c r="L249" i="1"/>
  <c r="L257" i="1"/>
  <c r="L259" i="1"/>
  <c r="L260" i="1"/>
  <c r="L261" i="1"/>
  <c r="L262" i="1"/>
  <c r="L266" i="1"/>
  <c r="L267" i="1"/>
  <c r="L268" i="1"/>
  <c r="L270" i="1"/>
  <c r="L271" i="1"/>
  <c r="L272" i="1"/>
  <c r="O272" i="1"/>
  <c r="L274" i="1"/>
  <c r="L275" i="1"/>
  <c r="L276" i="1"/>
  <c r="L278" i="1"/>
  <c r="L279" i="1"/>
  <c r="L280" i="1"/>
  <c r="L281" i="1"/>
  <c r="L282" i="1"/>
  <c r="L283" i="1"/>
  <c r="L286" i="1"/>
  <c r="L288" i="1"/>
  <c r="L289" i="1"/>
  <c r="L290" i="1"/>
  <c r="L291" i="1"/>
  <c r="L293" i="1"/>
  <c r="L296" i="1"/>
  <c r="L298" i="1"/>
  <c r="L300" i="1"/>
  <c r="L304" i="1"/>
  <c r="L307" i="1"/>
  <c r="L312" i="1"/>
  <c r="L314" i="1"/>
  <c r="L316" i="1"/>
  <c r="L317" i="1"/>
  <c r="M318" i="1"/>
  <c r="L318" i="1" s="1"/>
  <c r="L319" i="1"/>
  <c r="L322" i="1"/>
  <c r="L323" i="1"/>
  <c r="M324" i="1"/>
  <c r="L325" i="1"/>
  <c r="L326" i="1"/>
  <c r="L327" i="1"/>
  <c r="L329" i="1"/>
  <c r="L330" i="1"/>
  <c r="L331" i="1"/>
  <c r="L334" i="1"/>
  <c r="L337" i="1"/>
  <c r="L339" i="1"/>
  <c r="L340" i="1"/>
  <c r="L341" i="1"/>
  <c r="L343" i="1"/>
  <c r="L344" i="1"/>
  <c r="L347" i="1"/>
  <c r="L348" i="1"/>
  <c r="M349" i="1"/>
  <c r="L350" i="1"/>
  <c r="L351" i="1"/>
  <c r="M353" i="1"/>
  <c r="L354" i="1"/>
  <c r="L355" i="1"/>
  <c r="L356" i="1"/>
  <c r="L357" i="1"/>
  <c r="L360" i="1"/>
  <c r="L365" i="1"/>
  <c r="L366" i="1"/>
  <c r="L368" i="1"/>
  <c r="P278" i="1" l="1"/>
  <c r="P174" i="1" l="1"/>
  <c r="P159" i="1" l="1"/>
  <c r="P173" i="1" l="1"/>
  <c r="P158" i="1" l="1"/>
  <c r="P249" i="1"/>
  <c r="P282" i="1" l="1"/>
  <c r="P281" i="1"/>
  <c r="P280" i="1"/>
  <c r="P260" i="1" l="1"/>
  <c r="Q260" i="1" s="1"/>
  <c r="Q225" i="1"/>
  <c r="P257" i="1"/>
  <c r="R260" i="1" l="1"/>
  <c r="Q224" i="1" l="1"/>
  <c r="R224" i="1" s="1"/>
  <c r="R259" i="1"/>
  <c r="P133" i="1" l="1"/>
  <c r="P251" i="1" l="1"/>
  <c r="R348" i="1" l="1"/>
  <c r="P132" i="1"/>
  <c r="P122" i="1" l="1"/>
  <c r="P121" i="1"/>
  <c r="AN419" i="8" l="1"/>
  <c r="AM419" i="8"/>
  <c r="AP419" i="8" s="1"/>
  <c r="Y419" i="8"/>
  <c r="X419" i="8"/>
  <c r="Q419" i="8"/>
  <c r="AN418" i="8"/>
  <c r="AM418" i="8"/>
  <c r="V418" i="8"/>
  <c r="X418" i="8" s="1"/>
  <c r="U418" i="8"/>
  <c r="AN417" i="8"/>
  <c r="AM417" i="8"/>
  <c r="U417" i="8"/>
  <c r="V417" i="8" s="1"/>
  <c r="Q417" i="8"/>
  <c r="AN416" i="8"/>
  <c r="AM416" i="8"/>
  <c r="U416" i="8"/>
  <c r="V416" i="8" s="1"/>
  <c r="Q416" i="8"/>
  <c r="AN415" i="8"/>
  <c r="AM415" i="8"/>
  <c r="AP415" i="8" s="1"/>
  <c r="Y415" i="8"/>
  <c r="X415" i="8"/>
  <c r="W415" i="8"/>
  <c r="Q415" i="8"/>
  <c r="AN414" i="8"/>
  <c r="AM414" i="8"/>
  <c r="AP414" i="8" s="1"/>
  <c r="Y414" i="8"/>
  <c r="X414" i="8"/>
  <c r="Q414" i="8"/>
  <c r="AN413" i="8"/>
  <c r="AM413" i="8"/>
  <c r="U413" i="8"/>
  <c r="X413" i="8" s="1"/>
  <c r="Q413" i="8"/>
  <c r="AA412" i="8"/>
  <c r="AM412" i="8" s="1"/>
  <c r="AP412" i="8" s="1"/>
  <c r="X412" i="8"/>
  <c r="W412" i="8"/>
  <c r="V412" i="8"/>
  <c r="Y412" i="8" s="1"/>
  <c r="Q412" i="8"/>
  <c r="AN411" i="8"/>
  <c r="AM411" i="8"/>
  <c r="U411" i="8"/>
  <c r="V411" i="8" s="1"/>
  <c r="AN410" i="8"/>
  <c r="AM410" i="8"/>
  <c r="X410" i="8"/>
  <c r="V410" i="8"/>
  <c r="Y410" i="8" s="1"/>
  <c r="Q410" i="8"/>
  <c r="AN409" i="8"/>
  <c r="AM409" i="8"/>
  <c r="U409" i="8"/>
  <c r="V409" i="8" s="1"/>
  <c r="AN408" i="8"/>
  <c r="AM408" i="8"/>
  <c r="V408" i="8"/>
  <c r="X408" i="8" s="1"/>
  <c r="U408" i="8"/>
  <c r="AN407" i="8"/>
  <c r="AM407" i="8"/>
  <c r="U407" i="8"/>
  <c r="V407" i="8" s="1"/>
  <c r="AA406" i="8"/>
  <c r="AM406" i="8" s="1"/>
  <c r="U406" i="8"/>
  <c r="V406" i="8" s="1"/>
  <c r="AN405" i="8"/>
  <c r="AM405" i="8"/>
  <c r="X405" i="8"/>
  <c r="W405" i="8"/>
  <c r="V405" i="8"/>
  <c r="Y405" i="8" s="1"/>
  <c r="Q405" i="8"/>
  <c r="AN404" i="8"/>
  <c r="AM404" i="8"/>
  <c r="V404" i="8"/>
  <c r="Y404" i="8" s="1"/>
  <c r="U404" i="8"/>
  <c r="AN403" i="8"/>
  <c r="AM403" i="8"/>
  <c r="U403" i="8"/>
  <c r="V403" i="8" s="1"/>
  <c r="Y403" i="8" s="1"/>
  <c r="Q403" i="8"/>
  <c r="AN402" i="8"/>
  <c r="AM402" i="8"/>
  <c r="U402" i="8"/>
  <c r="V402" i="8" s="1"/>
  <c r="AN401" i="8"/>
  <c r="AM401" i="8"/>
  <c r="U401" i="8"/>
  <c r="V401" i="8" s="1"/>
  <c r="X401" i="8" s="1"/>
  <c r="AN400" i="8"/>
  <c r="AM400" i="8"/>
  <c r="U400" i="8"/>
  <c r="V400" i="8" s="1"/>
  <c r="AN399" i="8"/>
  <c r="AM399" i="8"/>
  <c r="V399" i="8"/>
  <c r="X399" i="8" s="1"/>
  <c r="U399" i="8"/>
  <c r="AN398" i="8"/>
  <c r="AM398" i="8"/>
  <c r="U398" i="8"/>
  <c r="V398" i="8" s="1"/>
  <c r="Q398" i="8"/>
  <c r="AB389" i="8"/>
  <c r="AA381" i="8"/>
  <c r="AN374" i="8"/>
  <c r="AM374" i="8"/>
  <c r="AP374" i="8" s="1"/>
  <c r="Y374" i="8"/>
  <c r="U374" i="8"/>
  <c r="X374" i="8" s="1"/>
  <c r="Q374" i="8"/>
  <c r="AN373" i="8"/>
  <c r="AM373" i="8"/>
  <c r="V373" i="8"/>
  <c r="X373" i="8" s="1"/>
  <c r="U373" i="8"/>
  <c r="AM372" i="8"/>
  <c r="AP372" i="8" s="1"/>
  <c r="AA372" i="8"/>
  <c r="AN372" i="8" s="1"/>
  <c r="Y372" i="8"/>
  <c r="X372" i="8"/>
  <c r="W372" i="8"/>
  <c r="Q372" i="8"/>
  <c r="AN371" i="8"/>
  <c r="AM371" i="8"/>
  <c r="W371" i="8"/>
  <c r="V371" i="8"/>
  <c r="Y371" i="8" s="1"/>
  <c r="AN370" i="8"/>
  <c r="AM370" i="8"/>
  <c r="V370" i="8"/>
  <c r="X370" i="8" s="1"/>
  <c r="U370" i="8"/>
  <c r="AN369" i="8"/>
  <c r="AM369" i="8"/>
  <c r="U369" i="8"/>
  <c r="V369" i="8" s="1"/>
  <c r="AN368" i="8"/>
  <c r="AM368" i="8"/>
  <c r="AP368" i="8" s="1"/>
  <c r="W368" i="8"/>
  <c r="V368" i="8"/>
  <c r="X368" i="8" s="1"/>
  <c r="AN367" i="8"/>
  <c r="AM367" i="8"/>
  <c r="U367" i="8"/>
  <c r="V367" i="8" s="1"/>
  <c r="Q367" i="8"/>
  <c r="AN366" i="8"/>
  <c r="AM366" i="8"/>
  <c r="U366" i="8"/>
  <c r="V366" i="8" s="1"/>
  <c r="AN365" i="8"/>
  <c r="AM365" i="8"/>
  <c r="AP365" i="8" s="1"/>
  <c r="Y365" i="8"/>
  <c r="X365" i="8"/>
  <c r="U365" i="8"/>
  <c r="Q365" i="8"/>
  <c r="AN364" i="8"/>
  <c r="AM364" i="8"/>
  <c r="U364" i="8"/>
  <c r="V364" i="8" s="1"/>
  <c r="AN363" i="8"/>
  <c r="AM363" i="8"/>
  <c r="V363" i="8"/>
  <c r="X363" i="8" s="1"/>
  <c r="U363" i="8"/>
  <c r="AN362" i="8"/>
  <c r="AM362" i="8"/>
  <c r="U362" i="8"/>
  <c r="V362" i="8" s="1"/>
  <c r="AN361" i="8"/>
  <c r="AM361" i="8"/>
  <c r="U361" i="8"/>
  <c r="V361" i="8" s="1"/>
  <c r="X361" i="8" s="1"/>
  <c r="AN360" i="8"/>
  <c r="AM360" i="8"/>
  <c r="V360" i="8"/>
  <c r="X360" i="8" s="1"/>
  <c r="U360" i="8"/>
  <c r="AN359" i="8"/>
  <c r="AM359" i="8"/>
  <c r="X359" i="8"/>
  <c r="U359" i="8"/>
  <c r="V359" i="8" s="1"/>
  <c r="Y359" i="8" s="1"/>
  <c r="Q359" i="8"/>
  <c r="AN358" i="8"/>
  <c r="AM358" i="8"/>
  <c r="U358" i="8"/>
  <c r="V358" i="8" s="1"/>
  <c r="Y358" i="8" s="1"/>
  <c r="Q358" i="8"/>
  <c r="AN357" i="8"/>
  <c r="AM357" i="8"/>
  <c r="X357" i="8"/>
  <c r="U357" i="8"/>
  <c r="V357" i="8" s="1"/>
  <c r="Y357" i="8" s="1"/>
  <c r="Q357" i="8"/>
  <c r="AN356" i="8"/>
  <c r="AM356" i="8"/>
  <c r="U356" i="8"/>
  <c r="V356" i="8" s="1"/>
  <c r="Y356" i="8" s="1"/>
  <c r="R356" i="8"/>
  <c r="AN355" i="8"/>
  <c r="AM355" i="8"/>
  <c r="X355" i="8"/>
  <c r="U355" i="8"/>
  <c r="V355" i="8" s="1"/>
  <c r="Y355" i="8" s="1"/>
  <c r="AN354" i="8"/>
  <c r="AM354" i="8"/>
  <c r="U354" i="8"/>
  <c r="V354" i="8" s="1"/>
  <c r="Q354" i="8"/>
  <c r="AN353" i="8"/>
  <c r="AM353" i="8"/>
  <c r="X353" i="8"/>
  <c r="V353" i="8"/>
  <c r="Y353" i="8" s="1"/>
  <c r="Q353" i="8"/>
  <c r="AN352" i="8"/>
  <c r="AM352" i="8"/>
  <c r="V352" i="8"/>
  <c r="Y352" i="8" s="1"/>
  <c r="R352" i="8"/>
  <c r="AN351" i="8"/>
  <c r="AM351" i="8"/>
  <c r="Y351" i="8"/>
  <c r="V351" i="8"/>
  <c r="X351" i="8" s="1"/>
  <c r="AN350" i="8"/>
  <c r="AM350" i="8"/>
  <c r="U350" i="8"/>
  <c r="V350" i="8" s="1"/>
  <c r="AN349" i="8"/>
  <c r="AM349" i="8"/>
  <c r="V349" i="8"/>
  <c r="X349" i="8" s="1"/>
  <c r="Q349" i="8"/>
  <c r="AN348" i="8"/>
  <c r="AM348" i="8"/>
  <c r="X348" i="8"/>
  <c r="U348" i="8"/>
  <c r="V348" i="8" s="1"/>
  <c r="Y348" i="8" s="1"/>
  <c r="Q348" i="8"/>
  <c r="AN347" i="8"/>
  <c r="AM347" i="8"/>
  <c r="V347" i="8"/>
  <c r="Y347" i="8" s="1"/>
  <c r="Q347" i="8"/>
  <c r="AN346" i="8"/>
  <c r="AM346" i="8"/>
  <c r="V346" i="8"/>
  <c r="AN345" i="8"/>
  <c r="AM345" i="8"/>
  <c r="U345" i="8"/>
  <c r="V345" i="8" s="1"/>
  <c r="Q345" i="8"/>
  <c r="AN344" i="8"/>
  <c r="AM344" i="8"/>
  <c r="X344" i="8"/>
  <c r="V344" i="8"/>
  <c r="Y344" i="8" s="1"/>
  <c r="Q344" i="8"/>
  <c r="AN343" i="8"/>
  <c r="AM343" i="8"/>
  <c r="V343" i="8"/>
  <c r="Y343" i="8" s="1"/>
  <c r="Q343" i="8"/>
  <c r="AN342" i="8"/>
  <c r="AM342" i="8"/>
  <c r="V342" i="8"/>
  <c r="U342" i="8"/>
  <c r="AN341" i="8"/>
  <c r="AM341" i="8"/>
  <c r="AP341" i="8" s="1"/>
  <c r="Y341" i="8"/>
  <c r="X341" i="8"/>
  <c r="Q341" i="8"/>
  <c r="AM340" i="8"/>
  <c r="AP340" i="8" s="1"/>
  <c r="AD340" i="8"/>
  <c r="AN340" i="8" s="1"/>
  <c r="V340" i="8"/>
  <c r="U340" i="8"/>
  <c r="AN339" i="8"/>
  <c r="AM339" i="8"/>
  <c r="U339" i="8"/>
  <c r="V339" i="8" s="1"/>
  <c r="AN338" i="8"/>
  <c r="AM338" i="8"/>
  <c r="U338" i="8"/>
  <c r="V338" i="8" s="1"/>
  <c r="Q338" i="8"/>
  <c r="AN337" i="8"/>
  <c r="AM337" i="8"/>
  <c r="V337" i="8"/>
  <c r="U337" i="8"/>
  <c r="AN336" i="8"/>
  <c r="AM336" i="8"/>
  <c r="AP336" i="8" s="1"/>
  <c r="Y336" i="8"/>
  <c r="X336" i="8"/>
  <c r="W336" i="8"/>
  <c r="AN335" i="8"/>
  <c r="AM335" i="8"/>
  <c r="V335" i="8"/>
  <c r="Y335" i="8" s="1"/>
  <c r="Q335" i="8"/>
  <c r="AN334" i="8"/>
  <c r="AM334" i="8"/>
  <c r="U334" i="8"/>
  <c r="V334" i="8" s="1"/>
  <c r="AN333" i="8"/>
  <c r="AM333" i="8"/>
  <c r="U333" i="8"/>
  <c r="V333" i="8" s="1"/>
  <c r="Y333" i="8" s="1"/>
  <c r="AN332" i="8"/>
  <c r="AM332" i="8"/>
  <c r="AP332" i="8" s="1"/>
  <c r="Y332" i="8"/>
  <c r="X332" i="8"/>
  <c r="U332" i="8"/>
  <c r="AN331" i="8"/>
  <c r="AM331" i="8"/>
  <c r="V331" i="8"/>
  <c r="U331" i="8"/>
  <c r="AN330" i="8"/>
  <c r="AM330" i="8"/>
  <c r="X330" i="8"/>
  <c r="V330" i="8"/>
  <c r="Y330" i="8" s="1"/>
  <c r="Q330" i="8"/>
  <c r="AN329" i="8"/>
  <c r="AM329" i="8"/>
  <c r="V329" i="8"/>
  <c r="X329" i="8" s="1"/>
  <c r="U329" i="8"/>
  <c r="AN328" i="8"/>
  <c r="AM328" i="8"/>
  <c r="X328" i="8"/>
  <c r="V328" i="8"/>
  <c r="Y328" i="8" s="1"/>
  <c r="Q328" i="8"/>
  <c r="AN327" i="8"/>
  <c r="AM327" i="8"/>
  <c r="AP327" i="8" s="1"/>
  <c r="W327" i="8"/>
  <c r="V327" i="8"/>
  <c r="X327" i="8" s="1"/>
  <c r="Q327" i="8"/>
  <c r="AN326" i="8"/>
  <c r="AM326" i="8"/>
  <c r="AP326" i="8" s="1"/>
  <c r="Y326" i="8"/>
  <c r="X326" i="8"/>
  <c r="U326" i="8"/>
  <c r="Q326" i="8"/>
  <c r="AA325" i="8"/>
  <c r="AN325" i="8" s="1"/>
  <c r="R325" i="8"/>
  <c r="U325" i="8" s="1"/>
  <c r="V325" i="8" s="1"/>
  <c r="X325" i="8" s="1"/>
  <c r="AN324" i="8"/>
  <c r="AM324" i="8"/>
  <c r="AP324" i="8" s="1"/>
  <c r="Y324" i="8"/>
  <c r="X324" i="8"/>
  <c r="U324" i="8"/>
  <c r="Q324" i="8"/>
  <c r="AN323" i="8"/>
  <c r="AM323" i="8"/>
  <c r="X323" i="8"/>
  <c r="V323" i="8"/>
  <c r="Y323" i="8" s="1"/>
  <c r="Q323" i="8"/>
  <c r="AN322" i="8"/>
  <c r="AM322" i="8"/>
  <c r="AP322" i="8" s="1"/>
  <c r="Y322" i="8"/>
  <c r="X322" i="8"/>
  <c r="U322" i="8"/>
  <c r="AN321" i="8"/>
  <c r="Z321" i="8"/>
  <c r="AM321" i="8" s="1"/>
  <c r="U321" i="8"/>
  <c r="V321" i="8" s="1"/>
  <c r="Y321" i="8" s="1"/>
  <c r="AN320" i="8"/>
  <c r="AM320" i="8"/>
  <c r="AP320" i="8" s="1"/>
  <c r="Y320" i="8"/>
  <c r="X320" i="8"/>
  <c r="Q320" i="8"/>
  <c r="AN319" i="8"/>
  <c r="AM319" i="8"/>
  <c r="R319" i="8"/>
  <c r="AN318" i="8"/>
  <c r="AM318" i="8"/>
  <c r="U318" i="8"/>
  <c r="V318" i="8" s="1"/>
  <c r="AN317" i="8"/>
  <c r="AM317" i="8"/>
  <c r="V317" i="8"/>
  <c r="Y317" i="8" s="1"/>
  <c r="U317" i="8"/>
  <c r="X317" i="8" s="1"/>
  <c r="Q317" i="8"/>
  <c r="AN316" i="8"/>
  <c r="AM316" i="8"/>
  <c r="AP316" i="8" s="1"/>
  <c r="Y316" i="8"/>
  <c r="X316" i="8"/>
  <c r="Q316" i="8"/>
  <c r="AN315" i="8"/>
  <c r="AM315" i="8"/>
  <c r="U315" i="8"/>
  <c r="V315" i="8" s="1"/>
  <c r="AN314" i="8"/>
  <c r="AM314" i="8"/>
  <c r="U314" i="8"/>
  <c r="V314" i="8" s="1"/>
  <c r="Y314" i="8" s="1"/>
  <c r="Q314" i="8"/>
  <c r="AN313" i="8"/>
  <c r="AM313" i="8"/>
  <c r="X313" i="8"/>
  <c r="U313" i="8"/>
  <c r="V313" i="8" s="1"/>
  <c r="Y313" i="8" s="1"/>
  <c r="AN312" i="8"/>
  <c r="AM312" i="8"/>
  <c r="U312" i="8"/>
  <c r="V312" i="8" s="1"/>
  <c r="Q312" i="8"/>
  <c r="AN311" i="8"/>
  <c r="AM311" i="8"/>
  <c r="Y311" i="8"/>
  <c r="V311" i="8"/>
  <c r="X311" i="8" s="1"/>
  <c r="AN310" i="8"/>
  <c r="AM310" i="8"/>
  <c r="U310" i="8"/>
  <c r="V310" i="8" s="1"/>
  <c r="AN309" i="8"/>
  <c r="AM309" i="8"/>
  <c r="U309" i="8"/>
  <c r="V309" i="8" s="1"/>
  <c r="Y309" i="8" s="1"/>
  <c r="AN308" i="8"/>
  <c r="AM308" i="8"/>
  <c r="V308" i="8"/>
  <c r="X308" i="8" s="1"/>
  <c r="U308" i="8"/>
  <c r="AN307" i="8"/>
  <c r="AM307" i="8"/>
  <c r="X307" i="8"/>
  <c r="U307" i="8"/>
  <c r="V307" i="8" s="1"/>
  <c r="Y307" i="8" s="1"/>
  <c r="Q307" i="8"/>
  <c r="AN306" i="8"/>
  <c r="AM306" i="8"/>
  <c r="U306" i="8"/>
  <c r="V306" i="8" s="1"/>
  <c r="Y306" i="8" s="1"/>
  <c r="AN305" i="8"/>
  <c r="AM305" i="8"/>
  <c r="V305" i="8"/>
  <c r="X305" i="8" s="1"/>
  <c r="U305" i="8"/>
  <c r="AN304" i="8"/>
  <c r="AM304" i="8"/>
  <c r="X304" i="8"/>
  <c r="U304" i="8"/>
  <c r="V304" i="8" s="1"/>
  <c r="Y304" i="8" s="1"/>
  <c r="Q304" i="8"/>
  <c r="AN303" i="8"/>
  <c r="AM303" i="8"/>
  <c r="U303" i="8"/>
  <c r="V303" i="8" s="1"/>
  <c r="Y303" i="8" s="1"/>
  <c r="AN302" i="8"/>
  <c r="AM302" i="8"/>
  <c r="V302" i="8"/>
  <c r="X302" i="8" s="1"/>
  <c r="U302" i="8"/>
  <c r="AN301" i="8"/>
  <c r="AM301" i="8"/>
  <c r="X301" i="8"/>
  <c r="U301" i="8"/>
  <c r="V301" i="8" s="1"/>
  <c r="Y301" i="8" s="1"/>
  <c r="AN300" i="8"/>
  <c r="AM300" i="8"/>
  <c r="X300" i="8"/>
  <c r="V300" i="8"/>
  <c r="Y300" i="8" s="1"/>
  <c r="Q300" i="8"/>
  <c r="AN299" i="8"/>
  <c r="AM299" i="8"/>
  <c r="AP299" i="8" s="1"/>
  <c r="V299" i="8"/>
  <c r="AN298" i="8"/>
  <c r="AM298" i="8"/>
  <c r="V298" i="8"/>
  <c r="Y298" i="8" s="1"/>
  <c r="U298" i="8"/>
  <c r="X298" i="8" s="1"/>
  <c r="Q298" i="8"/>
  <c r="AN297" i="8"/>
  <c r="AM297" i="8"/>
  <c r="V297" i="8"/>
  <c r="AN296" i="8"/>
  <c r="AM296" i="8"/>
  <c r="V296" i="8"/>
  <c r="U296" i="8"/>
  <c r="Q296" i="8"/>
  <c r="AN295" i="8"/>
  <c r="AM295" i="8"/>
  <c r="U295" i="8"/>
  <c r="V295" i="8" s="1"/>
  <c r="AB294" i="8"/>
  <c r="AA294" i="8"/>
  <c r="AN294" i="8" s="1"/>
  <c r="V294" i="8"/>
  <c r="Y294" i="8" s="1"/>
  <c r="AN293" i="8"/>
  <c r="AM293" i="8"/>
  <c r="AP293" i="8" s="1"/>
  <c r="U293" i="8"/>
  <c r="V293" i="8" s="1"/>
  <c r="Q293" i="8"/>
  <c r="AN292" i="8"/>
  <c r="AM292" i="8"/>
  <c r="AP292" i="8" s="1"/>
  <c r="U292" i="8"/>
  <c r="V292" i="8" s="1"/>
  <c r="AN291" i="8"/>
  <c r="AM291" i="8"/>
  <c r="X291" i="8"/>
  <c r="V291" i="8"/>
  <c r="Y291" i="8" s="1"/>
  <c r="Q291" i="8"/>
  <c r="AN290" i="8"/>
  <c r="AM290" i="8"/>
  <c r="W290" i="8"/>
  <c r="V290" i="8"/>
  <c r="Y290" i="8" s="1"/>
  <c r="AN289" i="8"/>
  <c r="AM289" i="8"/>
  <c r="AP289" i="8" s="1"/>
  <c r="Y289" i="8"/>
  <c r="X289" i="8"/>
  <c r="W289" i="8"/>
  <c r="Q289" i="8"/>
  <c r="AN288" i="8"/>
  <c r="AM288" i="8"/>
  <c r="X288" i="8"/>
  <c r="W288" i="8"/>
  <c r="V288" i="8"/>
  <c r="Y288" i="8" s="1"/>
  <c r="Q288" i="8"/>
  <c r="AN287" i="8"/>
  <c r="AM287" i="8"/>
  <c r="AP287" i="8" s="1"/>
  <c r="V287" i="8"/>
  <c r="AN286" i="8"/>
  <c r="AM286" i="8"/>
  <c r="U286" i="8"/>
  <c r="Q286" i="8"/>
  <c r="AN285" i="8"/>
  <c r="AM285" i="8"/>
  <c r="X285" i="8"/>
  <c r="U285" i="8"/>
  <c r="V285" i="8" s="1"/>
  <c r="Y285" i="8" s="1"/>
  <c r="AN284" i="8"/>
  <c r="AM284" i="8"/>
  <c r="Y284" i="8"/>
  <c r="U284" i="8"/>
  <c r="V284" i="8" s="1"/>
  <c r="X284" i="8" s="1"/>
  <c r="AA283" i="8"/>
  <c r="V283" i="8"/>
  <c r="U283" i="8"/>
  <c r="Q283" i="8"/>
  <c r="AN282" i="8"/>
  <c r="AM282" i="8"/>
  <c r="AP282" i="8" s="1"/>
  <c r="Y282" i="8"/>
  <c r="AN281" i="8"/>
  <c r="AM281" i="8"/>
  <c r="V281" i="8"/>
  <c r="AN280" i="8"/>
  <c r="AM280" i="8"/>
  <c r="U280" i="8"/>
  <c r="Q280" i="8"/>
  <c r="AN279" i="8"/>
  <c r="AM279" i="8"/>
  <c r="V279" i="8"/>
  <c r="U279" i="8"/>
  <c r="Q279" i="8"/>
  <c r="AN278" i="8"/>
  <c r="AM278" i="8"/>
  <c r="AP278" i="8" s="1"/>
  <c r="U278" i="8"/>
  <c r="V278" i="8" s="1"/>
  <c r="AM277" i="8"/>
  <c r="AD277" i="8"/>
  <c r="AN277" i="8" s="1"/>
  <c r="W277" i="8"/>
  <c r="V277" i="8"/>
  <c r="X277" i="8" s="1"/>
  <c r="AN276" i="8"/>
  <c r="AM276" i="8"/>
  <c r="AP276" i="8" s="1"/>
  <c r="U276" i="8"/>
  <c r="V276" i="8" s="1"/>
  <c r="Q276" i="8"/>
  <c r="AN275" i="8"/>
  <c r="AM275" i="8"/>
  <c r="AP275" i="8" s="1"/>
  <c r="U275" i="8"/>
  <c r="V275" i="8" s="1"/>
  <c r="Q275" i="8"/>
  <c r="AN274" i="8"/>
  <c r="AM274" i="8"/>
  <c r="AP274" i="8" s="1"/>
  <c r="Z274" i="8"/>
  <c r="Y274" i="8"/>
  <c r="U274" i="8"/>
  <c r="V274" i="8" s="1"/>
  <c r="X274" i="8" s="1"/>
  <c r="AN273" i="8"/>
  <c r="AM273" i="8"/>
  <c r="U273" i="8"/>
  <c r="V273" i="8" s="1"/>
  <c r="Q273" i="8"/>
  <c r="AN272" i="8"/>
  <c r="AM272" i="8"/>
  <c r="X272" i="8"/>
  <c r="V272" i="8"/>
  <c r="Y272" i="8" s="1"/>
  <c r="Q272" i="8"/>
  <c r="AN271" i="8"/>
  <c r="AM271" i="8"/>
  <c r="V271" i="8"/>
  <c r="AN270" i="8"/>
  <c r="AM270" i="8"/>
  <c r="V270" i="8"/>
  <c r="U270" i="8"/>
  <c r="Q270" i="8"/>
  <c r="AN269" i="8"/>
  <c r="AM269" i="8"/>
  <c r="U269" i="8"/>
  <c r="V269" i="8" s="1"/>
  <c r="AN268" i="8"/>
  <c r="AM268" i="8"/>
  <c r="AP268" i="8" s="1"/>
  <c r="U268" i="8"/>
  <c r="V268" i="8" s="1"/>
  <c r="AN267" i="8"/>
  <c r="AM267" i="8"/>
  <c r="V267" i="8"/>
  <c r="U267" i="8"/>
  <c r="AA266" i="8"/>
  <c r="AN266" i="8" s="1"/>
  <c r="X266" i="8"/>
  <c r="V266" i="8"/>
  <c r="Y266" i="8" s="1"/>
  <c r="Q266" i="8"/>
  <c r="AN265" i="8"/>
  <c r="AM265" i="8"/>
  <c r="X265" i="8"/>
  <c r="V265" i="8"/>
  <c r="Q265" i="8"/>
  <c r="AN264" i="8"/>
  <c r="AM264" i="8"/>
  <c r="V264" i="8"/>
  <c r="Y264" i="8" s="1"/>
  <c r="AN263" i="8"/>
  <c r="AM263" i="8"/>
  <c r="AP263" i="8" s="1"/>
  <c r="U263" i="8"/>
  <c r="V263" i="8" s="1"/>
  <c r="AN262" i="8"/>
  <c r="AM262" i="8"/>
  <c r="V262" i="8"/>
  <c r="U262" i="8"/>
  <c r="AN261" i="8"/>
  <c r="AM261" i="8"/>
  <c r="X261" i="8"/>
  <c r="V261" i="8"/>
  <c r="Y261" i="8" s="1"/>
  <c r="AM260" i="8"/>
  <c r="AP260" i="8" s="1"/>
  <c r="AA260" i="8"/>
  <c r="AN260" i="8" s="1"/>
  <c r="Y260" i="8"/>
  <c r="X260" i="8"/>
  <c r="AN259" i="8"/>
  <c r="AM259" i="8"/>
  <c r="U259" i="8"/>
  <c r="V259" i="8" s="1"/>
  <c r="AN258" i="8"/>
  <c r="AM258" i="8"/>
  <c r="V258" i="8"/>
  <c r="AN257" i="8"/>
  <c r="AM257" i="8"/>
  <c r="V257" i="8"/>
  <c r="U257" i="8"/>
  <c r="Q257" i="8"/>
  <c r="AN256" i="8"/>
  <c r="AM256" i="8"/>
  <c r="U256" i="8"/>
  <c r="V256" i="8" s="1"/>
  <c r="AN255" i="8"/>
  <c r="AM255" i="8"/>
  <c r="X255" i="8"/>
  <c r="V255" i="8"/>
  <c r="Y255" i="8" s="1"/>
  <c r="Q255" i="8"/>
  <c r="AN254" i="8"/>
  <c r="AM254" i="8"/>
  <c r="X254" i="8"/>
  <c r="V254" i="8"/>
  <c r="Y254" i="8" s="1"/>
  <c r="Q254" i="8"/>
  <c r="AN253" i="8"/>
  <c r="AM253" i="8"/>
  <c r="V253" i="8"/>
  <c r="Y253" i="8" s="1"/>
  <c r="AN252" i="8"/>
  <c r="AM252" i="8"/>
  <c r="X252" i="8"/>
  <c r="V252" i="8"/>
  <c r="Y252" i="8" s="1"/>
  <c r="Q252" i="8"/>
  <c r="AN251" i="8"/>
  <c r="AM251" i="8"/>
  <c r="V251" i="8"/>
  <c r="Q251" i="8"/>
  <c r="AN250" i="8"/>
  <c r="AM250" i="8"/>
  <c r="U250" i="8"/>
  <c r="V250" i="8" s="1"/>
  <c r="AN249" i="8"/>
  <c r="AM249" i="8"/>
  <c r="U249" i="8"/>
  <c r="V249" i="8" s="1"/>
  <c r="AN248" i="8"/>
  <c r="AM248" i="8"/>
  <c r="V248" i="8"/>
  <c r="Y248" i="8" s="1"/>
  <c r="Q248" i="8"/>
  <c r="AN247" i="8"/>
  <c r="AM247" i="8"/>
  <c r="U247" i="8"/>
  <c r="V247" i="8" s="1"/>
  <c r="Q247" i="8"/>
  <c r="AN246" i="8"/>
  <c r="AM246" i="8"/>
  <c r="Y246" i="8"/>
  <c r="R246" i="8"/>
  <c r="U246" i="8" s="1"/>
  <c r="V246" i="8" s="1"/>
  <c r="X246" i="8" s="1"/>
  <c r="AN245" i="8"/>
  <c r="AM245" i="8"/>
  <c r="X245" i="8"/>
  <c r="V245" i="8"/>
  <c r="Y245" i="8" s="1"/>
  <c r="Q245" i="8"/>
  <c r="AN244" i="8"/>
  <c r="AM244" i="8"/>
  <c r="X244" i="8"/>
  <c r="V244" i="8"/>
  <c r="Y244" i="8" s="1"/>
  <c r="Q244" i="8"/>
  <c r="AN243" i="8"/>
  <c r="AM243" i="8"/>
  <c r="V243" i="8"/>
  <c r="U243" i="8"/>
  <c r="AN242" i="8"/>
  <c r="AM242" i="8"/>
  <c r="U242" i="8"/>
  <c r="V242" i="8" s="1"/>
  <c r="AN241" i="8"/>
  <c r="AM241" i="8"/>
  <c r="U241" i="8"/>
  <c r="V241" i="8" s="1"/>
  <c r="Q241" i="8"/>
  <c r="AN240" i="8"/>
  <c r="AM240" i="8"/>
  <c r="V240" i="8"/>
  <c r="Q240" i="8"/>
  <c r="AN239" i="8"/>
  <c r="AM239" i="8"/>
  <c r="U239" i="8"/>
  <c r="V239" i="8" s="1"/>
  <c r="AN238" i="8"/>
  <c r="AM238" i="8"/>
  <c r="AP238" i="8" s="1"/>
  <c r="V238" i="8"/>
  <c r="Q238" i="8"/>
  <c r="AN237" i="8"/>
  <c r="AM237" i="8"/>
  <c r="V237" i="8"/>
  <c r="Y237" i="8" s="1"/>
  <c r="Q237" i="8"/>
  <c r="AN236" i="8"/>
  <c r="AM236" i="8"/>
  <c r="AP236" i="8" s="1"/>
  <c r="Y236" i="8"/>
  <c r="X236" i="8"/>
  <c r="W236" i="8"/>
  <c r="U236" i="8" s="1"/>
  <c r="AN235" i="8"/>
  <c r="AM235" i="8"/>
  <c r="U235" i="8"/>
  <c r="V235" i="8" s="1"/>
  <c r="Y235" i="8" s="1"/>
  <c r="Q235" i="8"/>
  <c r="AN234" i="8"/>
  <c r="AM234" i="8"/>
  <c r="X234" i="8"/>
  <c r="V234" i="8"/>
  <c r="AN233" i="8"/>
  <c r="AM233" i="8"/>
  <c r="Y233" i="8"/>
  <c r="V233" i="8"/>
  <c r="X233" i="8" s="1"/>
  <c r="AN232" i="8"/>
  <c r="AM232" i="8"/>
  <c r="U232" i="8"/>
  <c r="V232" i="8" s="1"/>
  <c r="AN231" i="8"/>
  <c r="AM231" i="8"/>
  <c r="U231" i="8"/>
  <c r="V231" i="8" s="1"/>
  <c r="Y231" i="8" s="1"/>
  <c r="R231" i="8"/>
  <c r="AN230" i="8"/>
  <c r="AM230" i="8"/>
  <c r="W230" i="8"/>
  <c r="V230" i="8"/>
  <c r="Y230" i="8" s="1"/>
  <c r="AN229" i="8"/>
  <c r="AM229" i="8"/>
  <c r="X229" i="8"/>
  <c r="V229" i="8"/>
  <c r="Y229" i="8" s="1"/>
  <c r="AN228" i="8"/>
  <c r="AM228" i="8"/>
  <c r="X228" i="8"/>
  <c r="V228" i="8"/>
  <c r="Y228" i="8" s="1"/>
  <c r="AN227" i="8"/>
  <c r="AM227" i="8"/>
  <c r="X227" i="8"/>
  <c r="V227" i="8"/>
  <c r="Y227" i="8" s="1"/>
  <c r="AN226" i="8"/>
  <c r="AM226" i="8"/>
  <c r="AP226" i="8" s="1"/>
  <c r="Y226" i="8"/>
  <c r="X226" i="8"/>
  <c r="AN225" i="8"/>
  <c r="AM225" i="8"/>
  <c r="U225" i="8"/>
  <c r="V225" i="8" s="1"/>
  <c r="AN224" i="8"/>
  <c r="AM224" i="8"/>
  <c r="V224" i="8"/>
  <c r="Y224" i="8" s="1"/>
  <c r="AN223" i="8"/>
  <c r="AM223" i="8"/>
  <c r="AP223" i="8" s="1"/>
  <c r="U223" i="8"/>
  <c r="V223" i="8" s="1"/>
  <c r="AN222" i="8"/>
  <c r="AM222" i="8"/>
  <c r="V222" i="8"/>
  <c r="U222" i="8"/>
  <c r="Q222" i="8"/>
  <c r="AN221" i="8"/>
  <c r="AM221" i="8"/>
  <c r="U221" i="8"/>
  <c r="V221" i="8" s="1"/>
  <c r="AN220" i="8"/>
  <c r="AM220" i="8"/>
  <c r="AP220" i="8" s="1"/>
  <c r="U220" i="8"/>
  <c r="V220" i="8" s="1"/>
  <c r="AN219" i="8"/>
  <c r="AM219" i="8"/>
  <c r="AP219" i="8" s="1"/>
  <c r="Y219" i="8"/>
  <c r="X219" i="8"/>
  <c r="Q219" i="8"/>
  <c r="AN218" i="8"/>
  <c r="AM218" i="8"/>
  <c r="V218" i="8"/>
  <c r="X218" i="8" s="1"/>
  <c r="U218" i="8"/>
  <c r="AN217" i="8"/>
  <c r="AM217" i="8"/>
  <c r="X217" i="8"/>
  <c r="U217" i="8"/>
  <c r="V217" i="8" s="1"/>
  <c r="Y217" i="8" s="1"/>
  <c r="Q217" i="8"/>
  <c r="AN216" i="8"/>
  <c r="AM216" i="8"/>
  <c r="X216" i="8"/>
  <c r="V216" i="8"/>
  <c r="Y216" i="8" s="1"/>
  <c r="Q216" i="8"/>
  <c r="AN215" i="8"/>
  <c r="AM215" i="8"/>
  <c r="X215" i="8"/>
  <c r="V215" i="8"/>
  <c r="Y215" i="8" s="1"/>
  <c r="Q215" i="8"/>
  <c r="AN214" i="8"/>
  <c r="AM214" i="8"/>
  <c r="U214" i="8"/>
  <c r="V214" i="8" s="1"/>
  <c r="Y214" i="8" s="1"/>
  <c r="Q214" i="8"/>
  <c r="AN213" i="8"/>
  <c r="AM213" i="8"/>
  <c r="X213" i="8"/>
  <c r="U213" i="8"/>
  <c r="V213" i="8" s="1"/>
  <c r="Y213" i="8" s="1"/>
  <c r="AN212" i="8"/>
  <c r="AM212" i="8"/>
  <c r="U212" i="8"/>
  <c r="V212" i="8" s="1"/>
  <c r="AN211" i="8"/>
  <c r="AM211" i="8"/>
  <c r="U211" i="8"/>
  <c r="V211" i="8" s="1"/>
  <c r="Y211" i="8" s="1"/>
  <c r="AN210" i="8"/>
  <c r="AM210" i="8"/>
  <c r="V210" i="8"/>
  <c r="X210" i="8" s="1"/>
  <c r="U210" i="8"/>
  <c r="AN209" i="8"/>
  <c r="AM209" i="8"/>
  <c r="X209" i="8"/>
  <c r="U209" i="8"/>
  <c r="V209" i="8" s="1"/>
  <c r="Y209" i="8" s="1"/>
  <c r="AN208" i="8"/>
  <c r="AA208" i="8"/>
  <c r="AM208" i="8" s="1"/>
  <c r="X208" i="8"/>
  <c r="U208" i="8"/>
  <c r="V208" i="8" s="1"/>
  <c r="Y208" i="8" s="1"/>
  <c r="AN207" i="8"/>
  <c r="AM207" i="8"/>
  <c r="U207" i="8"/>
  <c r="V207" i="8" s="1"/>
  <c r="AN206" i="8"/>
  <c r="AM206" i="8"/>
  <c r="AP206" i="8" s="1"/>
  <c r="Y206" i="8"/>
  <c r="X206" i="8"/>
  <c r="W206" i="8"/>
  <c r="Q206" i="8"/>
  <c r="AN205" i="8"/>
  <c r="AM205" i="8"/>
  <c r="V205" i="8"/>
  <c r="X205" i="8" s="1"/>
  <c r="U205" i="8"/>
  <c r="AN204" i="8"/>
  <c r="AM204" i="8"/>
  <c r="V204" i="8"/>
  <c r="Y204" i="8" s="1"/>
  <c r="AN203" i="8"/>
  <c r="AM203" i="8"/>
  <c r="V203" i="8"/>
  <c r="AN202" i="8"/>
  <c r="AM202" i="8"/>
  <c r="Y202" i="8"/>
  <c r="V202" i="8"/>
  <c r="AN201" i="8"/>
  <c r="AM201" i="8"/>
  <c r="X201" i="8"/>
  <c r="V201" i="8"/>
  <c r="Y201" i="8" s="1"/>
  <c r="AN200" i="8"/>
  <c r="AM200" i="8"/>
  <c r="X200" i="8"/>
  <c r="W200" i="8"/>
  <c r="V200" i="8"/>
  <c r="Y200" i="8" s="1"/>
  <c r="Q200" i="8"/>
  <c r="AN199" i="8"/>
  <c r="AM199" i="8"/>
  <c r="X199" i="8"/>
  <c r="U199" i="8"/>
  <c r="V199" i="8" s="1"/>
  <c r="Y199" i="8" s="1"/>
  <c r="AN198" i="8"/>
  <c r="AM198" i="8"/>
  <c r="Y198" i="8"/>
  <c r="R198" i="8"/>
  <c r="U198" i="8" s="1"/>
  <c r="V198" i="8" s="1"/>
  <c r="X198" i="8" s="1"/>
  <c r="Y197" i="8"/>
  <c r="U197" i="8"/>
  <c r="X197" i="8" s="1"/>
  <c r="AN196" i="8"/>
  <c r="AM196" i="8"/>
  <c r="X196" i="8"/>
  <c r="V196" i="8"/>
  <c r="Y196" i="8" s="1"/>
  <c r="Q196" i="8"/>
  <c r="AN195" i="8"/>
  <c r="AM195" i="8"/>
  <c r="U195" i="8"/>
  <c r="V195" i="8" s="1"/>
  <c r="AN194" i="8"/>
  <c r="AM194" i="8"/>
  <c r="X194" i="8"/>
  <c r="V194" i="8"/>
  <c r="Y194" i="8" s="1"/>
  <c r="Q194" i="8"/>
  <c r="AN193" i="8"/>
  <c r="AM193" i="8"/>
  <c r="V193" i="8"/>
  <c r="AN192" i="8"/>
  <c r="AM192" i="8"/>
  <c r="U192" i="8"/>
  <c r="V192" i="8" s="1"/>
  <c r="AM191" i="8"/>
  <c r="AP191" i="8" s="1"/>
  <c r="AB191" i="8"/>
  <c r="AN191" i="8" s="1"/>
  <c r="V191" i="8"/>
  <c r="Y191" i="8" s="1"/>
  <c r="U191" i="8"/>
  <c r="X191" i="8" s="1"/>
  <c r="Q191" i="8"/>
  <c r="AB190" i="8"/>
  <c r="X190" i="8"/>
  <c r="V190" i="8"/>
  <c r="Y190" i="8" s="1"/>
  <c r="Q190" i="8"/>
  <c r="AB189" i="8"/>
  <c r="AM189" i="8" s="1"/>
  <c r="X189" i="8"/>
  <c r="W189" i="8"/>
  <c r="V189" i="8"/>
  <c r="Y189" i="8" s="1"/>
  <c r="Q189" i="8"/>
  <c r="AN188" i="8"/>
  <c r="AM188" i="8"/>
  <c r="AP188" i="8" s="1"/>
  <c r="U188" i="8"/>
  <c r="V188" i="8" s="1"/>
  <c r="AN187" i="8"/>
  <c r="AM187" i="8"/>
  <c r="V187" i="8"/>
  <c r="U187" i="8"/>
  <c r="AN186" i="8"/>
  <c r="AM186" i="8"/>
  <c r="U186" i="8"/>
  <c r="Q186" i="8"/>
  <c r="AN185" i="8"/>
  <c r="AM185" i="8"/>
  <c r="U185" i="8"/>
  <c r="V185" i="8" s="1"/>
  <c r="AN184" i="8"/>
  <c r="AM184" i="8"/>
  <c r="AP184" i="8" s="1"/>
  <c r="V184" i="8"/>
  <c r="AN183" i="8"/>
  <c r="AM183" i="8"/>
  <c r="AP183" i="8" s="1"/>
  <c r="Y183" i="8"/>
  <c r="X183" i="8"/>
  <c r="U183" i="8"/>
  <c r="AN182" i="8"/>
  <c r="AM182" i="8"/>
  <c r="V182" i="8"/>
  <c r="X182" i="8" s="1"/>
  <c r="U182" i="8"/>
  <c r="Q182" i="8"/>
  <c r="AN181" i="8"/>
  <c r="AM181" i="8"/>
  <c r="V181" i="8"/>
  <c r="X181" i="8" s="1"/>
  <c r="U181" i="8"/>
  <c r="AN180" i="8"/>
  <c r="AM180" i="8"/>
  <c r="X180" i="8"/>
  <c r="U180" i="8"/>
  <c r="V180" i="8" s="1"/>
  <c r="Y180" i="8" s="1"/>
  <c r="AN179" i="8"/>
  <c r="AM179" i="8"/>
  <c r="U179" i="8"/>
  <c r="V179" i="8" s="1"/>
  <c r="AN178" i="8"/>
  <c r="AM178" i="8"/>
  <c r="U178" i="8"/>
  <c r="V178" i="8" s="1"/>
  <c r="Y178" i="8" s="1"/>
  <c r="AN177" i="8"/>
  <c r="AM177" i="8"/>
  <c r="V177" i="8"/>
  <c r="X177" i="8" s="1"/>
  <c r="U177" i="8"/>
  <c r="Q177" i="8"/>
  <c r="AN176" i="8"/>
  <c r="AM176" i="8"/>
  <c r="V176" i="8"/>
  <c r="X176" i="8" s="1"/>
  <c r="AN175" i="8"/>
  <c r="AM175" i="8"/>
  <c r="X175" i="8"/>
  <c r="V175" i="8"/>
  <c r="Y175" i="8" s="1"/>
  <c r="Q175" i="8"/>
  <c r="AN174" i="8"/>
  <c r="AM174" i="8"/>
  <c r="X174" i="8"/>
  <c r="V174" i="8"/>
  <c r="Y174" i="8" s="1"/>
  <c r="AN173" i="8"/>
  <c r="AM173" i="8"/>
  <c r="X173" i="8"/>
  <c r="V173" i="8"/>
  <c r="Y173" i="8" s="1"/>
  <c r="AN172" i="8"/>
  <c r="AM172" i="8"/>
  <c r="U172" i="8"/>
  <c r="V172" i="8" s="1"/>
  <c r="AN171" i="8"/>
  <c r="AM171" i="8"/>
  <c r="U171" i="8"/>
  <c r="V171" i="8" s="1"/>
  <c r="AN170" i="8"/>
  <c r="AM170" i="8"/>
  <c r="AP170" i="8" s="1"/>
  <c r="U170" i="8"/>
  <c r="V170" i="8" s="1"/>
  <c r="Q170" i="8"/>
  <c r="AN169" i="8"/>
  <c r="AM169" i="8"/>
  <c r="AP169" i="8" s="1"/>
  <c r="U169" i="8"/>
  <c r="V169" i="8" s="1"/>
  <c r="Q169" i="8"/>
  <c r="AN168" i="8"/>
  <c r="AM168" i="8"/>
  <c r="AP168" i="8" s="1"/>
  <c r="U168" i="8"/>
  <c r="V168" i="8" s="1"/>
  <c r="Q168" i="8"/>
  <c r="AN167" i="8"/>
  <c r="AM167" i="8"/>
  <c r="AP167" i="8" s="1"/>
  <c r="U167" i="8"/>
  <c r="V167" i="8" s="1"/>
  <c r="Q167" i="8"/>
  <c r="AN166" i="8"/>
  <c r="AM166" i="8"/>
  <c r="V166" i="8"/>
  <c r="Y166" i="8" s="1"/>
  <c r="AN165" i="8"/>
  <c r="AM165" i="8"/>
  <c r="U165" i="8"/>
  <c r="V165" i="8" s="1"/>
  <c r="Y165" i="8" s="1"/>
  <c r="AN164" i="8"/>
  <c r="AM164" i="8"/>
  <c r="V164" i="8"/>
  <c r="X164" i="8" s="1"/>
  <c r="U164" i="8"/>
  <c r="AN163" i="8"/>
  <c r="AM163" i="8"/>
  <c r="X163" i="8"/>
  <c r="W163" i="8"/>
  <c r="V163" i="8"/>
  <c r="Y163" i="8" s="1"/>
  <c r="Q163" i="8"/>
  <c r="AN162" i="8"/>
  <c r="AM162" i="8"/>
  <c r="U162" i="8"/>
  <c r="V162" i="8" s="1"/>
  <c r="Q162" i="8"/>
  <c r="AN161" i="8"/>
  <c r="AM161" i="8"/>
  <c r="U161" i="8"/>
  <c r="V161" i="8" s="1"/>
  <c r="AN160" i="8"/>
  <c r="AM160" i="8"/>
  <c r="U160" i="8"/>
  <c r="V160" i="8" s="1"/>
  <c r="Q160" i="8"/>
  <c r="AN159" i="8"/>
  <c r="AM159" i="8"/>
  <c r="V159" i="8"/>
  <c r="U159" i="8"/>
  <c r="Q159" i="8"/>
  <c r="AN158" i="8"/>
  <c r="AM158" i="8"/>
  <c r="U158" i="8"/>
  <c r="V158" i="8" s="1"/>
  <c r="AN157" i="8"/>
  <c r="AM157" i="8"/>
  <c r="U157" i="8"/>
  <c r="AN156" i="8"/>
  <c r="AM156" i="8"/>
  <c r="V156" i="8"/>
  <c r="Y156" i="8" s="1"/>
  <c r="U156" i="8"/>
  <c r="X156" i="8" s="1"/>
  <c r="AN155" i="8"/>
  <c r="AM155" i="8"/>
  <c r="U155" i="8"/>
  <c r="Q155" i="8"/>
  <c r="AN154" i="8"/>
  <c r="AM154" i="8"/>
  <c r="U154" i="8"/>
  <c r="Q154" i="8"/>
  <c r="AN153" i="8"/>
  <c r="AM153" i="8"/>
  <c r="U153" i="8"/>
  <c r="V153" i="8" s="1"/>
  <c r="Q153" i="8"/>
  <c r="AN152" i="8"/>
  <c r="AM152" i="8"/>
  <c r="U152" i="8"/>
  <c r="V152" i="8" s="1"/>
  <c r="AN151" i="8"/>
  <c r="AM151" i="8"/>
  <c r="U151" i="8"/>
  <c r="V151" i="8" s="1"/>
  <c r="Q151" i="8"/>
  <c r="AN150" i="8"/>
  <c r="AM150" i="8"/>
  <c r="V150" i="8"/>
  <c r="U150" i="8"/>
  <c r="Q150" i="8"/>
  <c r="AN149" i="8"/>
  <c r="AM149" i="8"/>
  <c r="U149" i="8"/>
  <c r="V149" i="8" s="1"/>
  <c r="Q149" i="8"/>
  <c r="AN148" i="8"/>
  <c r="AM148" i="8"/>
  <c r="Y148" i="8"/>
  <c r="X148" i="8"/>
  <c r="W148" i="8"/>
  <c r="V148" i="8"/>
  <c r="Q148" i="8"/>
  <c r="AN147" i="8"/>
  <c r="AM147" i="8"/>
  <c r="V147" i="8"/>
  <c r="X147" i="8" s="1"/>
  <c r="U147" i="8"/>
  <c r="Q147" i="8"/>
  <c r="AN146" i="8"/>
  <c r="AM146" i="8"/>
  <c r="X146" i="8"/>
  <c r="V146" i="8"/>
  <c r="Y146" i="8" s="1"/>
  <c r="AO146" i="8" s="1"/>
  <c r="Q146" i="8"/>
  <c r="AN145" i="8"/>
  <c r="AM145" i="8"/>
  <c r="X145" i="8"/>
  <c r="V145" i="8"/>
  <c r="Y145" i="8" s="1"/>
  <c r="AO145" i="8" s="1"/>
  <c r="Q145" i="8"/>
  <c r="AN144" i="8"/>
  <c r="AM144" i="8"/>
  <c r="U144" i="8"/>
  <c r="Q144" i="8"/>
  <c r="AN142" i="8"/>
  <c r="AM142" i="8"/>
  <c r="V142" i="8"/>
  <c r="Y142" i="8" s="1"/>
  <c r="U142" i="8"/>
  <c r="X142" i="8" s="1"/>
  <c r="Q142" i="8"/>
  <c r="AN141" i="8"/>
  <c r="AM141" i="8"/>
  <c r="U141" i="8"/>
  <c r="X141" i="8" s="1"/>
  <c r="Q141" i="8"/>
  <c r="AN140" i="8"/>
  <c r="AM140" i="8"/>
  <c r="X140" i="8"/>
  <c r="V140" i="8"/>
  <c r="Y140" i="8" s="1"/>
  <c r="Q140" i="8"/>
  <c r="AN139" i="8"/>
  <c r="AM139" i="8"/>
  <c r="X139" i="8"/>
  <c r="V139" i="8"/>
  <c r="Y139" i="8" s="1"/>
  <c r="Q139" i="8"/>
  <c r="AN138" i="8"/>
  <c r="AM138" i="8"/>
  <c r="X138" i="8"/>
  <c r="V138" i="8"/>
  <c r="Y138" i="8" s="1"/>
  <c r="Q138" i="8"/>
  <c r="AN137" i="8"/>
  <c r="AM137" i="8"/>
  <c r="AP137" i="8" s="1"/>
  <c r="Y137" i="8"/>
  <c r="AO137" i="8" s="1"/>
  <c r="X137" i="8"/>
  <c r="R137" i="8"/>
  <c r="AN136" i="8"/>
  <c r="AM136" i="8"/>
  <c r="U136" i="8"/>
  <c r="V136" i="8" s="1"/>
  <c r="Y136" i="8" s="1"/>
  <c r="AO136" i="8" s="1"/>
  <c r="Q136" i="8"/>
  <c r="AN135" i="8"/>
  <c r="AM135" i="8"/>
  <c r="AP135" i="8" s="1"/>
  <c r="Y135" i="8"/>
  <c r="X135" i="8"/>
  <c r="Q135" i="8"/>
  <c r="AL134" i="8"/>
  <c r="AK134" i="8"/>
  <c r="AJ134" i="8"/>
  <c r="AI134" i="8"/>
  <c r="AH134" i="8"/>
  <c r="AG134" i="8"/>
  <c r="AF134" i="8"/>
  <c r="AE134" i="8"/>
  <c r="AD134" i="8"/>
  <c r="AC134" i="8"/>
  <c r="AB134" i="8"/>
  <c r="AA134" i="8"/>
  <c r="Z134" i="8"/>
  <c r="AN133" i="8"/>
  <c r="AM133" i="8"/>
  <c r="X133" i="8"/>
  <c r="V133" i="8"/>
  <c r="V134" i="8" s="1"/>
  <c r="Q133" i="8"/>
  <c r="AN132" i="8"/>
  <c r="AM132" i="8"/>
  <c r="X132" i="8"/>
  <c r="V132" i="8"/>
  <c r="Y132" i="8" s="1"/>
  <c r="Q132" i="8"/>
  <c r="AN131" i="8"/>
  <c r="AM131" i="8"/>
  <c r="U131" i="8"/>
  <c r="V131" i="8" s="1"/>
  <c r="AM130" i="8"/>
  <c r="AA130" i="8"/>
  <c r="AN130" i="8" s="1"/>
  <c r="U130" i="8"/>
  <c r="V130" i="8" s="1"/>
  <c r="AN128" i="8"/>
  <c r="AM128" i="8"/>
  <c r="U128" i="8"/>
  <c r="V128" i="8" s="1"/>
  <c r="Y128" i="8" s="1"/>
  <c r="Q128" i="8"/>
  <c r="AN127" i="8"/>
  <c r="AM127" i="8"/>
  <c r="X127" i="8"/>
  <c r="U127" i="8"/>
  <c r="V127" i="8" s="1"/>
  <c r="Q127" i="8"/>
  <c r="AN125" i="8"/>
  <c r="AM125" i="8"/>
  <c r="R125" i="8"/>
  <c r="U125" i="8" s="1"/>
  <c r="V125" i="8" s="1"/>
  <c r="X125" i="8" s="1"/>
  <c r="AB124" i="8"/>
  <c r="U124" i="8"/>
  <c r="V124" i="8" s="1"/>
  <c r="R124" i="8"/>
  <c r="AM123" i="8"/>
  <c r="AC123" i="8"/>
  <c r="AN123" i="8" s="1"/>
  <c r="V123" i="8"/>
  <c r="R123" i="8"/>
  <c r="U123" i="8" s="1"/>
  <c r="AN122" i="8"/>
  <c r="AM122" i="8"/>
  <c r="U122" i="8"/>
  <c r="V122" i="8" s="1"/>
  <c r="AN121" i="8"/>
  <c r="AM121" i="8"/>
  <c r="U121" i="8"/>
  <c r="V121" i="8" s="1"/>
  <c r="Y121" i="8" s="1"/>
  <c r="AO121" i="8" s="1"/>
  <c r="AN120" i="8"/>
  <c r="AM120" i="8"/>
  <c r="AP120" i="8" s="1"/>
  <c r="U120" i="8"/>
  <c r="V120" i="8" s="1"/>
  <c r="AN119" i="8"/>
  <c r="AM119" i="8"/>
  <c r="X119" i="8"/>
  <c r="U119" i="8"/>
  <c r="V119" i="8" s="1"/>
  <c r="Y119" i="8" s="1"/>
  <c r="AO119" i="8" s="1"/>
  <c r="AN117" i="8"/>
  <c r="AM117" i="8"/>
  <c r="V117" i="8"/>
  <c r="U117" i="8"/>
  <c r="AN116" i="8"/>
  <c r="AN118" i="8" s="1"/>
  <c r="AM116" i="8"/>
  <c r="AM118" i="8" s="1"/>
  <c r="U116" i="8"/>
  <c r="V116" i="8" s="1"/>
  <c r="AN115" i="8"/>
  <c r="AM115" i="8"/>
  <c r="U115" i="8"/>
  <c r="V115" i="8" s="1"/>
  <c r="Y115" i="8" s="1"/>
  <c r="AO115" i="8" s="1"/>
  <c r="AN114" i="8"/>
  <c r="AM114" i="8"/>
  <c r="AP114" i="8" s="1"/>
  <c r="U114" i="8"/>
  <c r="V114" i="8" s="1"/>
  <c r="Q114" i="8"/>
  <c r="AN112" i="8"/>
  <c r="AM112" i="8"/>
  <c r="U112" i="8"/>
  <c r="V112" i="8" s="1"/>
  <c r="AN111" i="8"/>
  <c r="AM111" i="8"/>
  <c r="AM113" i="8" s="1"/>
  <c r="U111" i="8"/>
  <c r="V111" i="8" s="1"/>
  <c r="AN110" i="8"/>
  <c r="AM110" i="8"/>
  <c r="X110" i="8"/>
  <c r="U110" i="8"/>
  <c r="V110" i="8" s="1"/>
  <c r="Y110" i="8" s="1"/>
  <c r="AO110" i="8" s="1"/>
  <c r="AN109" i="8"/>
  <c r="AM109" i="8"/>
  <c r="U109" i="8"/>
  <c r="V109" i="8" s="1"/>
  <c r="AN108" i="8"/>
  <c r="AM108" i="8"/>
  <c r="U108" i="8"/>
  <c r="V108" i="8" s="1"/>
  <c r="Y108" i="8" s="1"/>
  <c r="AO108" i="8" s="1"/>
  <c r="AN106" i="8"/>
  <c r="AM106" i="8"/>
  <c r="V106" i="8"/>
  <c r="Y106" i="8" s="1"/>
  <c r="AN105" i="8"/>
  <c r="AM105" i="8"/>
  <c r="U105" i="8"/>
  <c r="V105" i="8" s="1"/>
  <c r="X105" i="8" s="1"/>
  <c r="AN104" i="8"/>
  <c r="AM104" i="8"/>
  <c r="U104" i="8"/>
  <c r="V104" i="8" s="1"/>
  <c r="Q104" i="8"/>
  <c r="AC103" i="8"/>
  <c r="U103" i="8"/>
  <c r="V103" i="8" s="1"/>
  <c r="Q103" i="8"/>
  <c r="AN102" i="8"/>
  <c r="AM102" i="8"/>
  <c r="AP102" i="8" s="1"/>
  <c r="U102" i="8"/>
  <c r="V102" i="8" s="1"/>
  <c r="AN101" i="8"/>
  <c r="AM101" i="8"/>
  <c r="V101" i="8"/>
  <c r="AN100" i="8"/>
  <c r="AM100" i="8"/>
  <c r="AP100" i="8" s="1"/>
  <c r="Y100" i="8"/>
  <c r="X100" i="8"/>
  <c r="T100" i="8"/>
  <c r="Q100" i="8"/>
  <c r="AN99" i="8"/>
  <c r="AM99" i="8"/>
  <c r="U99" i="8"/>
  <c r="V99" i="8" s="1"/>
  <c r="AN98" i="8"/>
  <c r="AM98" i="8"/>
  <c r="U98" i="8"/>
  <c r="V98" i="8" s="1"/>
  <c r="Y98" i="8" s="1"/>
  <c r="AO98" i="8" s="1"/>
  <c r="AN97" i="8"/>
  <c r="AM97" i="8"/>
  <c r="U97" i="8"/>
  <c r="V97" i="8" s="1"/>
  <c r="AN96" i="8"/>
  <c r="AM96" i="8"/>
  <c r="V96" i="8"/>
  <c r="U96" i="8"/>
  <c r="AN95" i="8"/>
  <c r="AM95" i="8"/>
  <c r="U95" i="8"/>
  <c r="V95" i="8" s="1"/>
  <c r="AN94" i="8"/>
  <c r="AM94" i="8"/>
  <c r="U94" i="8"/>
  <c r="V94" i="8" s="1"/>
  <c r="AN93" i="8"/>
  <c r="AM93" i="8"/>
  <c r="AP93" i="8" s="1"/>
  <c r="U93" i="8"/>
  <c r="V93" i="8" s="1"/>
  <c r="AN92" i="8"/>
  <c r="AM92" i="8"/>
  <c r="V92" i="8"/>
  <c r="U92" i="8"/>
  <c r="AN91" i="8"/>
  <c r="AM91" i="8"/>
  <c r="U91" i="8"/>
  <c r="V91" i="8" s="1"/>
  <c r="AN89" i="8"/>
  <c r="AM89" i="8"/>
  <c r="U89" i="8"/>
  <c r="V89" i="8" s="1"/>
  <c r="Y89" i="8" s="1"/>
  <c r="Q89" i="8"/>
  <c r="AN88" i="8"/>
  <c r="AM88" i="8"/>
  <c r="X88" i="8"/>
  <c r="U88" i="8"/>
  <c r="V88" i="8" s="1"/>
  <c r="Q88" i="8"/>
  <c r="AN86" i="8"/>
  <c r="AM86" i="8"/>
  <c r="X86" i="8"/>
  <c r="V86" i="8"/>
  <c r="Y86" i="8" s="1"/>
  <c r="Q86" i="8"/>
  <c r="AN85" i="8"/>
  <c r="AM85" i="8"/>
  <c r="V85" i="8"/>
  <c r="U85" i="8"/>
  <c r="AN84" i="8"/>
  <c r="AM84" i="8"/>
  <c r="U84" i="8"/>
  <c r="V84" i="8" s="1"/>
  <c r="AN83" i="8"/>
  <c r="AM83" i="8"/>
  <c r="U83" i="8"/>
  <c r="V83" i="8" s="1"/>
  <c r="Y83" i="8" s="1"/>
  <c r="AO83" i="8" s="1"/>
  <c r="AN82" i="8"/>
  <c r="AM82" i="8"/>
  <c r="AP82" i="8" s="1"/>
  <c r="U82" i="8"/>
  <c r="V82" i="8" s="1"/>
  <c r="AN81" i="8"/>
  <c r="AM81" i="8"/>
  <c r="X81" i="8"/>
  <c r="U81" i="8"/>
  <c r="V81" i="8" s="1"/>
  <c r="Y81" i="8" s="1"/>
  <c r="AO81" i="8" s="1"/>
  <c r="Q81" i="8"/>
  <c r="AN80" i="8"/>
  <c r="AM80" i="8"/>
  <c r="V80" i="8"/>
  <c r="X80" i="8" s="1"/>
  <c r="U80" i="8"/>
  <c r="AN79" i="8"/>
  <c r="AM79" i="8"/>
  <c r="U79" i="8"/>
  <c r="V79" i="8" s="1"/>
  <c r="AN78" i="8"/>
  <c r="AM78" i="8"/>
  <c r="V78" i="8"/>
  <c r="X78" i="8" s="1"/>
  <c r="U78" i="8"/>
  <c r="AN77" i="8"/>
  <c r="AM77" i="8"/>
  <c r="U77" i="8"/>
  <c r="V77" i="8" s="1"/>
  <c r="AC76" i="8"/>
  <c r="AB76" i="8"/>
  <c r="AA76" i="8"/>
  <c r="AM76" i="8" s="1"/>
  <c r="U76" i="8"/>
  <c r="V76" i="8" s="1"/>
  <c r="Y76" i="8" s="1"/>
  <c r="AO76" i="8" s="1"/>
  <c r="Q76" i="8"/>
  <c r="AN75" i="8"/>
  <c r="AM75" i="8"/>
  <c r="U75" i="8"/>
  <c r="V75" i="8" s="1"/>
  <c r="Q75" i="8"/>
  <c r="AN74" i="8"/>
  <c r="AM74" i="8"/>
  <c r="U74" i="8"/>
  <c r="V74" i="8" s="1"/>
  <c r="AN73" i="8"/>
  <c r="AM73" i="8"/>
  <c r="U73" i="8"/>
  <c r="V73" i="8" s="1"/>
  <c r="Y73" i="8" s="1"/>
  <c r="AO73" i="8" s="1"/>
  <c r="AM71" i="8"/>
  <c r="AP71" i="8" s="1"/>
  <c r="Y71" i="8"/>
  <c r="X71" i="8"/>
  <c r="Q71" i="8"/>
  <c r="AN70" i="8"/>
  <c r="AM70" i="8"/>
  <c r="X70" i="8"/>
  <c r="V70" i="8"/>
  <c r="Y70" i="8" s="1"/>
  <c r="Q70" i="8"/>
  <c r="AN69" i="8"/>
  <c r="AM69" i="8"/>
  <c r="X69" i="8"/>
  <c r="V69" i="8"/>
  <c r="Y69" i="8" s="1"/>
  <c r="Q69" i="8"/>
  <c r="AN68" i="8"/>
  <c r="AM68" i="8"/>
  <c r="X68" i="8"/>
  <c r="V68" i="8"/>
  <c r="Y68" i="8" s="1"/>
  <c r="Q68" i="8"/>
  <c r="AN67" i="8"/>
  <c r="AM67" i="8"/>
  <c r="X67" i="8"/>
  <c r="V67" i="8"/>
  <c r="Y67" i="8" s="1"/>
  <c r="Q67" i="8"/>
  <c r="AN66" i="8"/>
  <c r="AM66" i="8"/>
  <c r="V66" i="8"/>
  <c r="Y66" i="8" s="1"/>
  <c r="U66" i="8"/>
  <c r="X66" i="8" s="1"/>
  <c r="Q66" i="8"/>
  <c r="AN65" i="8"/>
  <c r="AM65" i="8"/>
  <c r="U65" i="8"/>
  <c r="V65" i="8" s="1"/>
  <c r="Q65" i="8"/>
  <c r="AN64" i="8"/>
  <c r="AM64" i="8"/>
  <c r="V64" i="8"/>
  <c r="R64" i="8"/>
  <c r="U64" i="8" s="1"/>
  <c r="AN63" i="8"/>
  <c r="AM63" i="8"/>
  <c r="AP63" i="8" s="1"/>
  <c r="Y63" i="8"/>
  <c r="X63" i="8"/>
  <c r="AN62" i="8"/>
  <c r="AM62" i="8"/>
  <c r="U62" i="8"/>
  <c r="V62" i="8" s="1"/>
  <c r="AN61" i="8"/>
  <c r="AM61" i="8"/>
  <c r="U61" i="8"/>
  <c r="V61" i="8" s="1"/>
  <c r="AN60" i="8"/>
  <c r="AM60" i="8"/>
  <c r="AP60" i="8" s="1"/>
  <c r="U60" i="8"/>
  <c r="V60" i="8" s="1"/>
  <c r="AN59" i="8"/>
  <c r="AM59" i="8"/>
  <c r="V59" i="8"/>
  <c r="U59" i="8"/>
  <c r="Q59" i="8"/>
  <c r="AN57" i="8"/>
  <c r="AM57" i="8"/>
  <c r="U57" i="8"/>
  <c r="V57" i="8" s="1"/>
  <c r="Y57" i="8" s="1"/>
  <c r="Q57" i="8"/>
  <c r="AN56" i="8"/>
  <c r="AM56" i="8"/>
  <c r="X56" i="8"/>
  <c r="U56" i="8"/>
  <c r="V56" i="8" s="1"/>
  <c r="Y56" i="8" s="1"/>
  <c r="Q56" i="8"/>
  <c r="AN55" i="8"/>
  <c r="AM55" i="8"/>
  <c r="U55" i="8"/>
  <c r="V55" i="8" s="1"/>
  <c r="Y55" i="8" s="1"/>
  <c r="Q55" i="8"/>
  <c r="AN54" i="8"/>
  <c r="AM54" i="8"/>
  <c r="X54" i="8"/>
  <c r="U54" i="8"/>
  <c r="V54" i="8" s="1"/>
  <c r="Y54" i="8" s="1"/>
  <c r="Q54" i="8"/>
  <c r="AN53" i="8"/>
  <c r="AM53" i="8"/>
  <c r="U53" i="8"/>
  <c r="V53" i="8" s="1"/>
  <c r="Y53" i="8" s="1"/>
  <c r="Q53" i="8"/>
  <c r="AN52" i="8"/>
  <c r="AM52" i="8"/>
  <c r="X52" i="8"/>
  <c r="U52" i="8"/>
  <c r="V52" i="8" s="1"/>
  <c r="Y52" i="8" s="1"/>
  <c r="Q52" i="8"/>
  <c r="AN51" i="8"/>
  <c r="AM51" i="8"/>
  <c r="U51" i="8"/>
  <c r="V51" i="8" s="1"/>
  <c r="Y51" i="8" s="1"/>
  <c r="Q51" i="8"/>
  <c r="AN50" i="8"/>
  <c r="U50" i="8"/>
  <c r="V50" i="8" s="1"/>
  <c r="Q50" i="8"/>
  <c r="AN49" i="8"/>
  <c r="AM49" i="8"/>
  <c r="V49" i="8"/>
  <c r="U49" i="8"/>
  <c r="Q49" i="8"/>
  <c r="AN48" i="8"/>
  <c r="AM48" i="8"/>
  <c r="AM58" i="8" s="1"/>
  <c r="U48" i="8"/>
  <c r="V48" i="8" s="1"/>
  <c r="Q48" i="8"/>
  <c r="AN46" i="8"/>
  <c r="AM46" i="8"/>
  <c r="X46" i="8"/>
  <c r="U46" i="8"/>
  <c r="V46" i="8" s="1"/>
  <c r="Y46" i="8" s="1"/>
  <c r="Q46" i="8"/>
  <c r="AN45" i="8"/>
  <c r="AM45" i="8"/>
  <c r="U45" i="8"/>
  <c r="V45" i="8" s="1"/>
  <c r="Y45" i="8" s="1"/>
  <c r="Q45" i="8"/>
  <c r="AN44" i="8"/>
  <c r="AM44" i="8"/>
  <c r="AP44" i="8" s="1"/>
  <c r="Y44" i="8"/>
  <c r="X44" i="8"/>
  <c r="Q44" i="8"/>
  <c r="AN43" i="8"/>
  <c r="AM43" i="8"/>
  <c r="U43" i="8"/>
  <c r="V43" i="8" s="1"/>
  <c r="X43" i="8" s="1"/>
  <c r="AN42" i="8"/>
  <c r="AM42" i="8"/>
  <c r="AM47" i="8" s="1"/>
  <c r="Y42" i="8"/>
  <c r="X42" i="8"/>
  <c r="U42" i="8"/>
  <c r="AN40" i="8"/>
  <c r="AM40" i="8"/>
  <c r="X40" i="8"/>
  <c r="U40" i="8"/>
  <c r="V40" i="8" s="1"/>
  <c r="Y40" i="8" s="1"/>
  <c r="AN39" i="8"/>
  <c r="AM39" i="8"/>
  <c r="AM41" i="8" s="1"/>
  <c r="U39" i="8"/>
  <c r="V39" i="8" s="1"/>
  <c r="Y39" i="8" s="1"/>
  <c r="AB38" i="8"/>
  <c r="AN38" i="8" s="1"/>
  <c r="V38" i="8"/>
  <c r="Y38" i="8" s="1"/>
  <c r="U38" i="8"/>
  <c r="X38" i="8" s="1"/>
  <c r="AN36" i="8"/>
  <c r="AM36" i="8"/>
  <c r="U36" i="8"/>
  <c r="V36" i="8" s="1"/>
  <c r="X36" i="8" s="1"/>
  <c r="Q36" i="8"/>
  <c r="AN35" i="8"/>
  <c r="AM35" i="8"/>
  <c r="AP35" i="8" s="1"/>
  <c r="Y35" i="8"/>
  <c r="X35" i="8"/>
  <c r="U35" i="8"/>
  <c r="AN34" i="8"/>
  <c r="AM34" i="8"/>
  <c r="AP34" i="8" s="1"/>
  <c r="Y34" i="8"/>
  <c r="X34" i="8"/>
  <c r="U34" i="8"/>
  <c r="AN33" i="8"/>
  <c r="AM33" i="8"/>
  <c r="AP33" i="8" s="1"/>
  <c r="Y33" i="8"/>
  <c r="X33" i="8"/>
  <c r="U33" i="8"/>
  <c r="AN31" i="8"/>
  <c r="AM31" i="8"/>
  <c r="U31" i="8"/>
  <c r="V31" i="8" s="1"/>
  <c r="AN30" i="8"/>
  <c r="AM30" i="8"/>
  <c r="U30" i="8"/>
  <c r="V30" i="8" s="1"/>
  <c r="Y30" i="8" s="1"/>
  <c r="AN28" i="8"/>
  <c r="AM28" i="8"/>
  <c r="U28" i="8"/>
  <c r="V28" i="8" s="1"/>
  <c r="AN27" i="8"/>
  <c r="AM27" i="8"/>
  <c r="AM29" i="8" s="1"/>
  <c r="U27" i="8"/>
  <c r="V27" i="8" s="1"/>
  <c r="AN26" i="8"/>
  <c r="AN29" i="8" s="1"/>
  <c r="AM26" i="8"/>
  <c r="V26" i="8"/>
  <c r="U26" i="8"/>
  <c r="AN24" i="8"/>
  <c r="AM24" i="8"/>
  <c r="X24" i="8"/>
  <c r="V24" i="8"/>
  <c r="Y24" i="8" s="1"/>
  <c r="Q24" i="8"/>
  <c r="AN23" i="8"/>
  <c r="AM23" i="8"/>
  <c r="AM25" i="8" s="1"/>
  <c r="U23" i="8"/>
  <c r="V23" i="8" s="1"/>
  <c r="Q23" i="8"/>
  <c r="AN21" i="8"/>
  <c r="AM21" i="8"/>
  <c r="V21" i="8"/>
  <c r="U21" i="8"/>
  <c r="AN20" i="8"/>
  <c r="AM20" i="8"/>
  <c r="X20" i="8"/>
  <c r="U20" i="8"/>
  <c r="V20" i="8" s="1"/>
  <c r="Y20" i="8" s="1"/>
  <c r="AN19" i="8"/>
  <c r="AM19" i="8"/>
  <c r="Y19" i="8"/>
  <c r="U19" i="8"/>
  <c r="V19" i="8" s="1"/>
  <c r="X19" i="8" s="1"/>
  <c r="AN18" i="8"/>
  <c r="AM18" i="8"/>
  <c r="U18" i="8"/>
  <c r="V18" i="8" s="1"/>
  <c r="AN17" i="8"/>
  <c r="AM17" i="8"/>
  <c r="V17" i="8"/>
  <c r="U17" i="8"/>
  <c r="AN16" i="8"/>
  <c r="AM16" i="8"/>
  <c r="X16" i="8"/>
  <c r="U16" i="8"/>
  <c r="V16" i="8" s="1"/>
  <c r="Y16" i="8" s="1"/>
  <c r="AN15" i="8"/>
  <c r="AM15" i="8"/>
  <c r="U15" i="8"/>
  <c r="V15" i="8" s="1"/>
  <c r="X15" i="8" s="1"/>
  <c r="AN14" i="8"/>
  <c r="AM14" i="8"/>
  <c r="AP14" i="8" s="1"/>
  <c r="U14" i="8"/>
  <c r="V14" i="8" s="1"/>
  <c r="AN13" i="8"/>
  <c r="AM13" i="8"/>
  <c r="V13" i="8"/>
  <c r="U13" i="8"/>
  <c r="AN12" i="8"/>
  <c r="AM12" i="8"/>
  <c r="X12" i="8"/>
  <c r="U12" i="8"/>
  <c r="V12" i="8" s="1"/>
  <c r="Y12" i="8" s="1"/>
  <c r="Q12" i="8"/>
  <c r="AN11" i="8"/>
  <c r="AM11" i="8"/>
  <c r="AP11" i="8" s="1"/>
  <c r="U11" i="8"/>
  <c r="V11" i="8" s="1"/>
  <c r="AN10" i="8"/>
  <c r="AM10" i="8"/>
  <c r="AM22" i="8" s="1"/>
  <c r="V10" i="8"/>
  <c r="U10" i="8"/>
  <c r="AN9" i="8"/>
  <c r="AN22" i="8" s="1"/>
  <c r="AM9" i="8"/>
  <c r="X9" i="8"/>
  <c r="U9" i="8"/>
  <c r="V9" i="8" s="1"/>
  <c r="Y9" i="8" s="1"/>
  <c r="Q9" i="8"/>
  <c r="AN7" i="8"/>
  <c r="AM7" i="8"/>
  <c r="AP7" i="8" s="1"/>
  <c r="U7" i="8"/>
  <c r="V7" i="8" s="1"/>
  <c r="AN6" i="8"/>
  <c r="AM6" i="8"/>
  <c r="V6" i="8"/>
  <c r="R6" i="8"/>
  <c r="U6" i="8" s="1"/>
  <c r="AN5" i="8"/>
  <c r="AM5" i="8"/>
  <c r="Y5" i="8"/>
  <c r="U5" i="8"/>
  <c r="V5" i="8" s="1"/>
  <c r="X5" i="8" s="1"/>
  <c r="AN4" i="8"/>
  <c r="AM4" i="8"/>
  <c r="X4" i="8"/>
  <c r="U4" i="8"/>
  <c r="V4" i="8" s="1"/>
  <c r="P368" i="1"/>
  <c r="P367" i="1"/>
  <c r="Q367" i="1" s="1"/>
  <c r="P366" i="1"/>
  <c r="R365" i="1"/>
  <c r="R364" i="1"/>
  <c r="Q364" i="1"/>
  <c r="P363" i="1"/>
  <c r="Q363" i="1" s="1"/>
  <c r="P362" i="1"/>
  <c r="Q362" i="1" s="1"/>
  <c r="R361" i="1"/>
  <c r="Q361" i="1"/>
  <c r="P360" i="1"/>
  <c r="Q360" i="1" s="1"/>
  <c r="P359" i="1"/>
  <c r="Q359" i="1" s="1"/>
  <c r="P357" i="1"/>
  <c r="P356" i="1"/>
  <c r="Q356" i="1" s="1"/>
  <c r="P358" i="1"/>
  <c r="Q358" i="1" s="1"/>
  <c r="P355" i="1"/>
  <c r="Q355" i="1" s="1"/>
  <c r="P354" i="1"/>
  <c r="Q354" i="1" s="1"/>
  <c r="P353" i="1"/>
  <c r="Q353" i="1" s="1"/>
  <c r="P352" i="1"/>
  <c r="Q352" i="1" s="1"/>
  <c r="P351" i="1"/>
  <c r="Q351" i="1" s="1"/>
  <c r="Q350" i="1"/>
  <c r="Q349" i="1"/>
  <c r="Q346" i="1"/>
  <c r="P345" i="1"/>
  <c r="Q345" i="1" s="1"/>
  <c r="Q344" i="1"/>
  <c r="Q343" i="1"/>
  <c r="Q342" i="1"/>
  <c r="P341" i="1"/>
  <c r="Q341" i="1" s="1"/>
  <c r="Q340" i="1"/>
  <c r="Q339" i="1"/>
  <c r="R339" i="1" s="1"/>
  <c r="P338" i="1"/>
  <c r="Q338" i="1" s="1"/>
  <c r="P336" i="1"/>
  <c r="Q336" i="1" s="1"/>
  <c r="P335" i="1"/>
  <c r="Q335" i="1" s="1"/>
  <c r="P334" i="1"/>
  <c r="Q334" i="1" s="1"/>
  <c r="P333" i="1"/>
  <c r="Q333" i="1" s="1"/>
  <c r="R332" i="1"/>
  <c r="Q331" i="1"/>
  <c r="P191" i="1"/>
  <c r="P330" i="1"/>
  <c r="Q330" i="1" s="1"/>
  <c r="Q329" i="1"/>
  <c r="P328" i="1"/>
  <c r="Q328" i="1" s="1"/>
  <c r="Q327" i="1"/>
  <c r="R326" i="1"/>
  <c r="Q326" i="1"/>
  <c r="P325" i="1"/>
  <c r="P324" i="1"/>
  <c r="Q324" i="1" s="1"/>
  <c r="P323" i="1"/>
  <c r="Q322" i="1"/>
  <c r="P321" i="1"/>
  <c r="P320" i="1"/>
  <c r="Q320" i="1" s="1"/>
  <c r="P317" i="1"/>
  <c r="Q317" i="1" s="1"/>
  <c r="P315" i="1"/>
  <c r="Q315" i="1" s="1"/>
  <c r="P314" i="1"/>
  <c r="Q314" i="1" s="1"/>
  <c r="P313" i="1"/>
  <c r="Q313" i="1" s="1"/>
  <c r="P312" i="1"/>
  <c r="Q312" i="1" s="1"/>
  <c r="Q311" i="1"/>
  <c r="P310" i="1"/>
  <c r="Q310" i="1" s="1"/>
  <c r="P308" i="1"/>
  <c r="Q308" i="1" s="1"/>
  <c r="P307" i="1"/>
  <c r="Q307" i="1" s="1"/>
  <c r="P306" i="1"/>
  <c r="Q306" i="1" s="1"/>
  <c r="P305" i="1"/>
  <c r="Q305" i="1" s="1"/>
  <c r="P304" i="1"/>
  <c r="Q304" i="1" s="1"/>
  <c r="P303" i="1"/>
  <c r="Q303" i="1" s="1"/>
  <c r="P302" i="1"/>
  <c r="Q302" i="1" s="1"/>
  <c r="P301" i="1"/>
  <c r="Q301" i="1" s="1"/>
  <c r="Q300" i="1"/>
  <c r="Q299" i="1"/>
  <c r="P298" i="1"/>
  <c r="Q297" i="1"/>
  <c r="P296" i="1"/>
  <c r="Q296" i="1" s="1"/>
  <c r="P295" i="1"/>
  <c r="Q295" i="1" s="1"/>
  <c r="Q294" i="1"/>
  <c r="P293" i="1"/>
  <c r="Q293" i="1" s="1"/>
  <c r="P292" i="1"/>
  <c r="Q292" i="1" s="1"/>
  <c r="Q289" i="1"/>
  <c r="R288" i="1"/>
  <c r="Q288" i="1"/>
  <c r="Q287" i="1"/>
  <c r="P286" i="1"/>
  <c r="Q286" i="1" s="1"/>
  <c r="P285" i="1"/>
  <c r="Q285" i="1" s="1"/>
  <c r="P284" i="1"/>
  <c r="P283" i="1"/>
  <c r="Q277" i="1"/>
  <c r="P276" i="1"/>
  <c r="P275" i="1"/>
  <c r="Q275" i="1" s="1"/>
  <c r="P273" i="1"/>
  <c r="Q273" i="1" s="1"/>
  <c r="P271" i="1"/>
  <c r="Q271" i="1" s="1"/>
  <c r="P270" i="1"/>
  <c r="Q270" i="1" s="1"/>
  <c r="P269" i="1"/>
  <c r="Q269" i="1" s="1"/>
  <c r="P268" i="1"/>
  <c r="Q268" i="1" s="1"/>
  <c r="Q267" i="1"/>
  <c r="P266" i="1"/>
  <c r="Q266" i="1" s="1"/>
  <c r="P265" i="1"/>
  <c r="Q265" i="1" s="1"/>
  <c r="P264" i="1"/>
  <c r="Q264" i="1" s="1"/>
  <c r="P263" i="1"/>
  <c r="Q263" i="1" s="1"/>
  <c r="Q262" i="1"/>
  <c r="Q261" i="1"/>
  <c r="Q258" i="1"/>
  <c r="P256" i="1"/>
  <c r="Q256" i="1" s="1"/>
  <c r="Q255" i="1"/>
  <c r="P253" i="1"/>
  <c r="Q253" i="1" s="1"/>
  <c r="Q252" i="1"/>
  <c r="P250" i="1"/>
  <c r="Q250" i="1" s="1"/>
  <c r="Q248" i="1"/>
  <c r="Q247" i="1"/>
  <c r="Q246" i="1"/>
  <c r="Q245" i="1"/>
  <c r="Q244" i="1"/>
  <c r="P243" i="1"/>
  <c r="Q243" i="1" s="1"/>
  <c r="P242" i="1"/>
  <c r="Q242" i="1" s="1"/>
  <c r="Q241" i="1"/>
  <c r="P240" i="1"/>
  <c r="Q240" i="1" s="1"/>
  <c r="Q239" i="1"/>
  <c r="Q238" i="1"/>
  <c r="P237" i="1"/>
  <c r="Q237" i="1" s="1"/>
  <c r="P234" i="1"/>
  <c r="Q234" i="1" s="1"/>
  <c r="P233" i="1"/>
  <c r="Q233" i="1" s="1"/>
  <c r="Q232" i="1"/>
  <c r="Q231" i="1"/>
  <c r="R230" i="1"/>
  <c r="P230" i="1" s="1"/>
  <c r="P229" i="1"/>
  <c r="Q229" i="1" s="1"/>
  <c r="Q228" i="1"/>
  <c r="Q227" i="1"/>
  <c r="P226" i="1"/>
  <c r="Q226" i="1" s="1"/>
  <c r="Q223" i="1"/>
  <c r="Q222" i="1"/>
  <c r="Q221" i="1"/>
  <c r="Q220" i="1"/>
  <c r="P218" i="1"/>
  <c r="Q218" i="1" s="1"/>
  <c r="Q217" i="1"/>
  <c r="P216" i="1"/>
  <c r="Q216" i="1" s="1"/>
  <c r="P215" i="1"/>
  <c r="Q215" i="1" s="1"/>
  <c r="P214" i="1"/>
  <c r="Q214" i="1" s="1"/>
  <c r="P213" i="1"/>
  <c r="Q213" i="1" s="1"/>
  <c r="P211" i="1"/>
  <c r="Q211" i="1" s="1"/>
  <c r="P210" i="1"/>
  <c r="Q210" i="1" s="1"/>
  <c r="Q209" i="1"/>
  <c r="Q208" i="1"/>
  <c r="P207" i="1"/>
  <c r="Q207" i="1" s="1"/>
  <c r="P206" i="1"/>
  <c r="Q206" i="1" s="1"/>
  <c r="P205" i="1"/>
  <c r="Q205" i="1" s="1"/>
  <c r="P204" i="1"/>
  <c r="Q204" i="1" s="1"/>
  <c r="P203" i="1"/>
  <c r="Q203" i="1" s="1"/>
  <c r="P202" i="1"/>
  <c r="Q202" i="1" s="1"/>
  <c r="P201" i="1"/>
  <c r="Q201" i="1" s="1"/>
  <c r="P200" i="1"/>
  <c r="Q200" i="1" s="1"/>
  <c r="R199" i="1"/>
  <c r="P196" i="1"/>
  <c r="Q196" i="1" s="1"/>
  <c r="Q195" i="1"/>
  <c r="Q194" i="1"/>
  <c r="Q193" i="1"/>
  <c r="Q192" i="1"/>
  <c r="R190" i="1"/>
  <c r="Q190" i="1"/>
  <c r="P189" i="1"/>
  <c r="Q189" i="1" s="1"/>
  <c r="P188" i="1"/>
  <c r="Q188" i="1" s="1"/>
  <c r="Q186" i="1"/>
  <c r="P185" i="1"/>
  <c r="Q185" i="1" s="1"/>
  <c r="Q184" i="1"/>
  <c r="Q183" i="1"/>
  <c r="P182" i="1"/>
  <c r="Q182" i="1" s="1"/>
  <c r="P181" i="1"/>
  <c r="P180" i="1"/>
  <c r="Q179" i="1"/>
  <c r="R178" i="1"/>
  <c r="Q178" i="1"/>
  <c r="P177" i="1"/>
  <c r="Q177" i="1" s="1"/>
  <c r="P176" i="1"/>
  <c r="Q176" i="1" s="1"/>
  <c r="P175" i="1"/>
  <c r="Q175" i="1" s="1"/>
  <c r="P172" i="1"/>
  <c r="P171" i="1"/>
  <c r="Q171" i="1" s="1"/>
  <c r="P170" i="1"/>
  <c r="Q170" i="1" s="1"/>
  <c r="P169" i="1"/>
  <c r="Q169" i="1" s="1"/>
  <c r="P168" i="1"/>
  <c r="Q168" i="1" s="1"/>
  <c r="P167" i="1"/>
  <c r="Q167" i="1" s="1"/>
  <c r="Q166" i="1"/>
  <c r="Q165" i="1"/>
  <c r="Q164" i="1"/>
  <c r="Q163" i="1"/>
  <c r="P162" i="1"/>
  <c r="Q162" i="1" s="1"/>
  <c r="P161" i="1"/>
  <c r="Q161" i="1" s="1"/>
  <c r="P160" i="1"/>
  <c r="Q160" i="1" s="1"/>
  <c r="P157" i="1"/>
  <c r="Q157" i="1" s="1"/>
  <c r="P156" i="1"/>
  <c r="Q156" i="1" s="1"/>
  <c r="P155" i="1"/>
  <c r="Q155" i="1" s="1"/>
  <c r="Q154" i="1"/>
  <c r="P153" i="1"/>
  <c r="Q153" i="1" s="1"/>
  <c r="P152" i="1"/>
  <c r="Q152" i="1" s="1"/>
  <c r="R151" i="1"/>
  <c r="Q151" i="1"/>
  <c r="P150" i="1"/>
  <c r="Q150" i="1" s="1"/>
  <c r="P149" i="1"/>
  <c r="Q149" i="1" s="1"/>
  <c r="P148" i="1"/>
  <c r="Q148" i="1" s="1"/>
  <c r="P147" i="1"/>
  <c r="Q147" i="1" s="1"/>
  <c r="P146" i="1"/>
  <c r="P145" i="1"/>
  <c r="Q145" i="1" s="1"/>
  <c r="P144" i="1"/>
  <c r="P143" i="1"/>
  <c r="P142" i="1"/>
  <c r="Q142" i="1" s="1"/>
  <c r="P141" i="1"/>
  <c r="Q141" i="1" s="1"/>
  <c r="P140" i="1"/>
  <c r="Q140" i="1" s="1"/>
  <c r="P139" i="1"/>
  <c r="Q139" i="1" s="1"/>
  <c r="P138" i="1"/>
  <c r="Q138" i="1" s="1"/>
  <c r="R137" i="1"/>
  <c r="Q137" i="1"/>
  <c r="P136" i="1"/>
  <c r="Q136" i="1" s="1"/>
  <c r="P131" i="1"/>
  <c r="Q130" i="1"/>
  <c r="P129" i="1"/>
  <c r="P128" i="1"/>
  <c r="P127" i="1"/>
  <c r="Q126" i="1"/>
  <c r="Q125" i="1"/>
  <c r="Q124" i="1"/>
  <c r="P120" i="1"/>
  <c r="Q120" i="1" s="1"/>
  <c r="P118" i="1"/>
  <c r="Q118" i="1" s="1"/>
  <c r="P117" i="1"/>
  <c r="Q117" i="1" s="1"/>
  <c r="P116" i="1"/>
  <c r="P114" i="1"/>
  <c r="Q114" i="1" s="1"/>
  <c r="P113" i="1"/>
  <c r="Q113" i="1" s="1"/>
  <c r="P112" i="1"/>
  <c r="Q112" i="1" s="1"/>
  <c r="P111" i="1"/>
  <c r="Q111" i="1" s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Q98" i="1"/>
  <c r="P96" i="1"/>
  <c r="Q96" i="1" s="1"/>
  <c r="P95" i="1"/>
  <c r="Q95" i="1" s="1"/>
  <c r="P94" i="1"/>
  <c r="Q94" i="1" s="1"/>
  <c r="Q93" i="1"/>
  <c r="P92" i="1"/>
  <c r="Q92" i="1" s="1"/>
  <c r="P91" i="1"/>
  <c r="Q91" i="1" s="1"/>
  <c r="P90" i="1"/>
  <c r="Q90" i="1" s="1"/>
  <c r="P89" i="1"/>
  <c r="Q89" i="1" s="1"/>
  <c r="P88" i="1"/>
  <c r="Q88" i="1" s="1"/>
  <c r="P87" i="1"/>
  <c r="Q87" i="1" s="1"/>
  <c r="P86" i="1"/>
  <c r="Q86" i="1" s="1"/>
  <c r="P85" i="1"/>
  <c r="Q85" i="1" s="1"/>
  <c r="P84" i="1"/>
  <c r="Q84" i="1" s="1"/>
  <c r="P83" i="1"/>
  <c r="P82" i="1"/>
  <c r="Q81" i="1"/>
  <c r="P80" i="1"/>
  <c r="Q80" i="1" s="1"/>
  <c r="P79" i="1"/>
  <c r="Q79" i="1" s="1"/>
  <c r="P78" i="1"/>
  <c r="Q78" i="1" s="1"/>
  <c r="P77" i="1"/>
  <c r="Q77" i="1" s="1"/>
  <c r="P76" i="1"/>
  <c r="Q76" i="1" s="1"/>
  <c r="P75" i="1"/>
  <c r="Q75" i="1" s="1"/>
  <c r="P74" i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Q64" i="1"/>
  <c r="Q63" i="1"/>
  <c r="Q62" i="1"/>
  <c r="Q61" i="1"/>
  <c r="P60" i="1"/>
  <c r="P59" i="1"/>
  <c r="Q59" i="1" s="1"/>
  <c r="P58" i="1"/>
  <c r="Q58" i="1" s="1"/>
  <c r="P56" i="1"/>
  <c r="Q56" i="1" s="1"/>
  <c r="P55" i="1"/>
  <c r="Q55" i="1" s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P41" i="1"/>
  <c r="Q41" i="1" s="1"/>
  <c r="P39" i="1"/>
  <c r="P38" i="1"/>
  <c r="P37" i="1"/>
  <c r="P36" i="1"/>
  <c r="Q36" i="1" s="1"/>
  <c r="P35" i="1"/>
  <c r="Q35" i="1" s="1"/>
  <c r="P34" i="1"/>
  <c r="Q34" i="1" s="1"/>
  <c r="P33" i="1"/>
  <c r="Q33" i="1" s="1"/>
  <c r="P32" i="1"/>
  <c r="P31" i="1"/>
  <c r="P29" i="1"/>
  <c r="Q29" i="1" s="1"/>
  <c r="P28" i="1"/>
  <c r="Q28" i="1" s="1"/>
  <c r="P27" i="1"/>
  <c r="Q27" i="1" s="1"/>
  <c r="P26" i="1"/>
  <c r="Q26" i="1" s="1"/>
  <c r="P25" i="1"/>
  <c r="Q25" i="1" s="1"/>
  <c r="Q24" i="1"/>
  <c r="P23" i="1"/>
  <c r="Q23" i="1" s="1"/>
  <c r="P22" i="1"/>
  <c r="Q22" i="1" s="1"/>
  <c r="P21" i="1"/>
  <c r="Q21" i="1" s="1"/>
  <c r="P20" i="1"/>
  <c r="Q20" i="1" s="1"/>
  <c r="P19" i="1"/>
  <c r="Q19" i="1" s="1"/>
  <c r="P18" i="1"/>
  <c r="Q18" i="1" s="1"/>
  <c r="P17" i="1"/>
  <c r="Q17" i="1" s="1"/>
  <c r="P16" i="1"/>
  <c r="Q16" i="1" s="1"/>
  <c r="P15" i="1"/>
  <c r="Q15" i="1" s="1"/>
  <c r="P14" i="1"/>
  <c r="Q14" i="1" s="1"/>
  <c r="P13" i="1"/>
  <c r="Q13" i="1" s="1"/>
  <c r="P12" i="1"/>
  <c r="Q12" i="1" s="1"/>
  <c r="P11" i="1"/>
  <c r="Q11" i="1" s="1"/>
  <c r="P10" i="1"/>
  <c r="Q10" i="1" s="1"/>
  <c r="P9" i="1"/>
  <c r="Q9" i="1" s="1"/>
  <c r="P8" i="1"/>
  <c r="Q8" i="1" s="1"/>
  <c r="P7" i="1"/>
  <c r="Q7" i="1" s="1"/>
  <c r="P6" i="1"/>
  <c r="Q6" i="1" s="1"/>
  <c r="Q74" i="1" l="1"/>
  <c r="Q172" i="1"/>
  <c r="AN8" i="8"/>
  <c r="X10" i="8"/>
  <c r="Y10" i="8"/>
  <c r="X13" i="8"/>
  <c r="Y13" i="8"/>
  <c r="Y18" i="8"/>
  <c r="X18" i="8"/>
  <c r="X21" i="8"/>
  <c r="Y21" i="8"/>
  <c r="X31" i="8"/>
  <c r="Y31" i="8"/>
  <c r="X79" i="8"/>
  <c r="Y79" i="8"/>
  <c r="AO79" i="8" s="1"/>
  <c r="X179" i="8"/>
  <c r="Y179" i="8"/>
  <c r="X232" i="8"/>
  <c r="Y232" i="8"/>
  <c r="Y11" i="8"/>
  <c r="X11" i="8"/>
  <c r="Y14" i="8"/>
  <c r="X14" i="8"/>
  <c r="Y15" i="8"/>
  <c r="X17" i="8"/>
  <c r="Y17" i="8"/>
  <c r="AP18" i="8"/>
  <c r="X75" i="8"/>
  <c r="Y75" i="8"/>
  <c r="AO75" i="8" s="1"/>
  <c r="X77" i="8"/>
  <c r="Y77" i="8"/>
  <c r="AO77" i="8" s="1"/>
  <c r="X130" i="8"/>
  <c r="Y130" i="8"/>
  <c r="AO130" i="8" s="1"/>
  <c r="X195" i="8"/>
  <c r="Y195" i="8"/>
  <c r="X207" i="8"/>
  <c r="Y207" i="8"/>
  <c r="X212" i="8"/>
  <c r="Y212" i="8"/>
  <c r="X225" i="8"/>
  <c r="Y225" i="8"/>
  <c r="X247" i="8"/>
  <c r="Y247" i="8"/>
  <c r="AP30" i="8"/>
  <c r="AP36" i="8"/>
  <c r="AM37" i="8"/>
  <c r="AP43" i="8"/>
  <c r="AP45" i="8"/>
  <c r="AP51" i="8"/>
  <c r="AP53" i="8"/>
  <c r="AP55" i="8"/>
  <c r="AP57" i="8"/>
  <c r="AP65" i="8"/>
  <c r="AP67" i="8"/>
  <c r="AP69" i="8"/>
  <c r="AP76" i="8"/>
  <c r="AP86" i="8"/>
  <c r="AP89" i="8"/>
  <c r="AP94" i="8"/>
  <c r="AP106" i="8"/>
  <c r="AP112" i="8"/>
  <c r="AP128" i="8"/>
  <c r="AP130" i="8"/>
  <c r="AP139" i="8"/>
  <c r="AP146" i="8"/>
  <c r="AP158" i="8"/>
  <c r="AP160" i="8"/>
  <c r="AP165" i="8"/>
  <c r="AP166" i="8"/>
  <c r="AP178" i="8"/>
  <c r="AP194" i="8"/>
  <c r="AP196" i="8"/>
  <c r="AP211" i="8"/>
  <c r="AP214" i="8"/>
  <c r="AP216" i="8"/>
  <c r="AP221" i="8"/>
  <c r="AP224" i="8"/>
  <c r="AP231" i="8"/>
  <c r="AP235" i="8"/>
  <c r="AP237" i="8"/>
  <c r="AP244" i="8"/>
  <c r="AP248" i="8"/>
  <c r="AP252" i="8"/>
  <c r="AP253" i="8"/>
  <c r="AP255" i="8"/>
  <c r="AP264" i="8"/>
  <c r="Y273" i="8"/>
  <c r="X273" i="8"/>
  <c r="Y277" i="8"/>
  <c r="AP277" i="8"/>
  <c r="X280" i="8"/>
  <c r="V280" i="8"/>
  <c r="Y280" i="8" s="1"/>
  <c r="AN283" i="8"/>
  <c r="AM283" i="8"/>
  <c r="AP283" i="8" s="1"/>
  <c r="V286" i="8"/>
  <c r="Y286" i="8" s="1"/>
  <c r="X286" i="8"/>
  <c r="AP290" i="8"/>
  <c r="X310" i="8"/>
  <c r="Y310" i="8"/>
  <c r="X312" i="8"/>
  <c r="Y312" i="8"/>
  <c r="X350" i="8"/>
  <c r="Y350" i="8"/>
  <c r="AP9" i="8"/>
  <c r="AP12" i="8"/>
  <c r="AP16" i="8"/>
  <c r="AP20" i="8"/>
  <c r="AN25" i="8"/>
  <c r="AP24" i="8"/>
  <c r="X30" i="8"/>
  <c r="AM32" i="8"/>
  <c r="AM38" i="8"/>
  <c r="AP38" i="8" s="1"/>
  <c r="AP40" i="8"/>
  <c r="X45" i="8"/>
  <c r="AP46" i="8"/>
  <c r="AP49" i="8"/>
  <c r="X51" i="8"/>
  <c r="AP52" i="8"/>
  <c r="X53" i="8"/>
  <c r="AP54" i="8"/>
  <c r="X55" i="8"/>
  <c r="AP56" i="8"/>
  <c r="X57" i="8"/>
  <c r="AP62" i="8"/>
  <c r="AP68" i="8"/>
  <c r="AP70" i="8"/>
  <c r="X73" i="8"/>
  <c r="AP74" i="8"/>
  <c r="X76" i="8"/>
  <c r="AN76" i="8"/>
  <c r="Y78" i="8"/>
  <c r="AO78" i="8" s="1"/>
  <c r="Y80" i="8"/>
  <c r="AO80" i="8" s="1"/>
  <c r="X83" i="8"/>
  <c r="AM87" i="8"/>
  <c r="AM90" i="8"/>
  <c r="X89" i="8"/>
  <c r="AP91" i="8"/>
  <c r="AP92" i="8"/>
  <c r="AP95" i="8"/>
  <c r="AP96" i="8"/>
  <c r="X98" i="8"/>
  <c r="X106" i="8"/>
  <c r="X108" i="8"/>
  <c r="X115" i="8"/>
  <c r="X121" i="8"/>
  <c r="AP122" i="8"/>
  <c r="Y125" i="8"/>
  <c r="AM129" i="8"/>
  <c r="X128" i="8"/>
  <c r="AM134" i="8"/>
  <c r="AP134" i="8" s="1"/>
  <c r="AO135" i="8"/>
  <c r="X136" i="8"/>
  <c r="AP138" i="8"/>
  <c r="AP140" i="8"/>
  <c r="V141" i="8"/>
  <c r="Y141" i="8" s="1"/>
  <c r="AM143" i="8"/>
  <c r="AP145" i="8"/>
  <c r="Y147" i="8"/>
  <c r="AP148" i="8"/>
  <c r="AP150" i="8"/>
  <c r="AP152" i="8"/>
  <c r="AP153" i="8"/>
  <c r="AP156" i="8"/>
  <c r="AP161" i="8"/>
  <c r="AP162" i="8"/>
  <c r="Y164" i="8"/>
  <c r="X165" i="8"/>
  <c r="X166" i="8"/>
  <c r="AP172" i="8"/>
  <c r="AP173" i="8"/>
  <c r="AP174" i="8"/>
  <c r="Y176" i="8"/>
  <c r="Y177" i="8"/>
  <c r="X178" i="8"/>
  <c r="AP180" i="8"/>
  <c r="Y181" i="8"/>
  <c r="Y182" i="8"/>
  <c r="AP185" i="8"/>
  <c r="AN189" i="8"/>
  <c r="AP193" i="8"/>
  <c r="AP199" i="8"/>
  <c r="AP200" i="8"/>
  <c r="AP201" i="8"/>
  <c r="AP202" i="8"/>
  <c r="AP204" i="8"/>
  <c r="Y205" i="8"/>
  <c r="AP209" i="8"/>
  <c r="Y210" i="8"/>
  <c r="X211" i="8"/>
  <c r="AP213" i="8"/>
  <c r="X214" i="8"/>
  <c r="AP215" i="8"/>
  <c r="AP217" i="8"/>
  <c r="Y218" i="8"/>
  <c r="X224" i="8"/>
  <c r="AP227" i="8"/>
  <c r="AP228" i="8"/>
  <c r="AP229" i="8"/>
  <c r="AP230" i="8"/>
  <c r="X231" i="8"/>
  <c r="AP234" i="8"/>
  <c r="X235" i="8"/>
  <c r="X237" i="8"/>
  <c r="AP239" i="8"/>
  <c r="AP240" i="8"/>
  <c r="AP242" i="8"/>
  <c r="AP245" i="8"/>
  <c r="X248" i="8"/>
  <c r="AP250" i="8"/>
  <c r="X253" i="8"/>
  <c r="AP257" i="8"/>
  <c r="AP259" i="8"/>
  <c r="AP261" i="8"/>
  <c r="AP262" i="8"/>
  <c r="X264" i="8"/>
  <c r="AP265" i="8"/>
  <c r="AM266" i="8"/>
  <c r="AP266" i="8" s="1"/>
  <c r="AP270" i="8"/>
  <c r="AP273" i="8"/>
  <c r="AP280" i="8"/>
  <c r="X283" i="8"/>
  <c r="Y283" i="8"/>
  <c r="AP286" i="8"/>
  <c r="Y287" i="8"/>
  <c r="X287" i="8"/>
  <c r="X315" i="8"/>
  <c r="Y315" i="8"/>
  <c r="X334" i="8"/>
  <c r="Y334" i="8"/>
  <c r="X354" i="8"/>
  <c r="Y354" i="8"/>
  <c r="AP303" i="8"/>
  <c r="AP306" i="8"/>
  <c r="AP309" i="8"/>
  <c r="AP314" i="8"/>
  <c r="AP323" i="8"/>
  <c r="AP333" i="8"/>
  <c r="AP335" i="8"/>
  <c r="AP338" i="8"/>
  <c r="AP343" i="8"/>
  <c r="AP345" i="8"/>
  <c r="AP347" i="8"/>
  <c r="AP349" i="8"/>
  <c r="AP352" i="8"/>
  <c r="AP356" i="8"/>
  <c r="AP358" i="8"/>
  <c r="AP361" i="8"/>
  <c r="AP401" i="8"/>
  <c r="AP405" i="8"/>
  <c r="AP272" i="8"/>
  <c r="AP285" i="8"/>
  <c r="AP291" i="8"/>
  <c r="X294" i="8"/>
  <c r="AP296" i="8"/>
  <c r="AP298" i="8"/>
  <c r="AP301" i="8"/>
  <c r="Y302" i="8"/>
  <c r="X303" i="8"/>
  <c r="AP304" i="8"/>
  <c r="Y305" i="8"/>
  <c r="X306" i="8"/>
  <c r="AP307" i="8"/>
  <c r="Y308" i="8"/>
  <c r="X309" i="8"/>
  <c r="AP313" i="8"/>
  <c r="X314" i="8"/>
  <c r="AP317" i="8"/>
  <c r="X321" i="8"/>
  <c r="Y325" i="8"/>
  <c r="AM325" i="8"/>
  <c r="AP325" i="8" s="1"/>
  <c r="Y327" i="8"/>
  <c r="AP328" i="8"/>
  <c r="Y329" i="8"/>
  <c r="AP330" i="8"/>
  <c r="X333" i="8"/>
  <c r="X335" i="8"/>
  <c r="X343" i="8"/>
  <c r="AP344" i="8"/>
  <c r="X347" i="8"/>
  <c r="AP348" i="8"/>
  <c r="X352" i="8"/>
  <c r="AP355" i="8"/>
  <c r="X356" i="8"/>
  <c r="AP357" i="8"/>
  <c r="X358" i="8"/>
  <c r="AP359" i="8"/>
  <c r="Y360" i="8"/>
  <c r="AP362" i="8"/>
  <c r="AP363" i="8"/>
  <c r="AP366" i="8"/>
  <c r="AP367" i="8"/>
  <c r="Y368" i="8"/>
  <c r="AP369" i="8"/>
  <c r="AP370" i="8"/>
  <c r="AP371" i="8"/>
  <c r="AP373" i="8"/>
  <c r="AP398" i="8"/>
  <c r="AP399" i="8"/>
  <c r="AP402" i="8"/>
  <c r="AP403" i="8"/>
  <c r="AP404" i="8"/>
  <c r="AP406" i="8"/>
  <c r="AP407" i="8"/>
  <c r="AP408" i="8"/>
  <c r="AP410" i="8"/>
  <c r="V413" i="8"/>
  <c r="Y413" i="8" s="1"/>
  <c r="AP416" i="8"/>
  <c r="AP417" i="8"/>
  <c r="AP418" i="8"/>
  <c r="Q283" i="1"/>
  <c r="Q284" i="1"/>
  <c r="Q60" i="1"/>
  <c r="Q82" i="1"/>
  <c r="Q128" i="1"/>
  <c r="R223" i="1"/>
  <c r="Q144" i="1"/>
  <c r="Q180" i="1"/>
  <c r="Q127" i="1"/>
  <c r="Q146" i="1"/>
  <c r="Q298" i="1"/>
  <c r="Q83" i="1"/>
  <c r="Q129" i="1"/>
  <c r="Q143" i="1"/>
  <c r="Q276" i="1"/>
  <c r="P318" i="1"/>
  <c r="Q318" i="1" s="1"/>
  <c r="X6" i="8"/>
  <c r="Y6" i="8"/>
  <c r="X28" i="8"/>
  <c r="Y28" i="8"/>
  <c r="V72" i="8"/>
  <c r="Y72" i="8" s="1"/>
  <c r="X59" i="8"/>
  <c r="Y59" i="8"/>
  <c r="X61" i="8"/>
  <c r="Y61" i="8"/>
  <c r="AP84" i="8"/>
  <c r="Y97" i="8"/>
  <c r="AO97" i="8" s="1"/>
  <c r="X97" i="8"/>
  <c r="Y99" i="8"/>
  <c r="AO99" i="8" s="1"/>
  <c r="X99" i="8"/>
  <c r="Y104" i="8"/>
  <c r="AO104" i="8" s="1"/>
  <c r="X104" i="8"/>
  <c r="Y109" i="8"/>
  <c r="AO109" i="8" s="1"/>
  <c r="X109" i="8"/>
  <c r="Y111" i="8"/>
  <c r="X111" i="8"/>
  <c r="V113" i="8"/>
  <c r="Y113" i="8" s="1"/>
  <c r="AO113" i="8" s="1"/>
  <c r="Y131" i="8"/>
  <c r="AO131" i="8" s="1"/>
  <c r="X131" i="8"/>
  <c r="X149" i="8"/>
  <c r="Y149" i="8"/>
  <c r="Y153" i="8"/>
  <c r="X153" i="8"/>
  <c r="X159" i="8"/>
  <c r="Y159" i="8"/>
  <c r="Y161" i="8"/>
  <c r="X161" i="8"/>
  <c r="X171" i="8"/>
  <c r="Y171" i="8"/>
  <c r="X192" i="8"/>
  <c r="X404" i="8" s="1"/>
  <c r="Y192" i="8"/>
  <c r="X203" i="8"/>
  <c r="Y203" i="8"/>
  <c r="Y220" i="8"/>
  <c r="X220" i="8"/>
  <c r="Y239" i="8"/>
  <c r="X239" i="8"/>
  <c r="X241" i="8"/>
  <c r="Y241" i="8"/>
  <c r="X243" i="8"/>
  <c r="Y243" i="8"/>
  <c r="X249" i="8"/>
  <c r="Y249" i="8"/>
  <c r="X256" i="8"/>
  <c r="Y256" i="8"/>
  <c r="X258" i="8"/>
  <c r="Y258" i="8"/>
  <c r="X269" i="8"/>
  <c r="Y269" i="8"/>
  <c r="X271" i="8"/>
  <c r="Y271" i="8"/>
  <c r="Y276" i="8"/>
  <c r="X276" i="8"/>
  <c r="X295" i="8"/>
  <c r="Y295" i="8"/>
  <c r="Y318" i="8"/>
  <c r="X318" i="8"/>
  <c r="X331" i="8"/>
  <c r="Y331" i="8"/>
  <c r="X337" i="8"/>
  <c r="Y337" i="8"/>
  <c r="Y339" i="8"/>
  <c r="X339" i="8"/>
  <c r="X26" i="8"/>
  <c r="Y26" i="8"/>
  <c r="AP27" i="8"/>
  <c r="V58" i="8"/>
  <c r="Y58" i="8" s="1"/>
  <c r="AO58" i="8" s="1"/>
  <c r="X48" i="8"/>
  <c r="Y48" i="8"/>
  <c r="X50" i="8"/>
  <c r="AP50" i="8"/>
  <c r="Y50" i="8"/>
  <c r="X64" i="8"/>
  <c r="Y64" i="8"/>
  <c r="X85" i="8"/>
  <c r="Y85" i="8"/>
  <c r="Y91" i="8"/>
  <c r="X91" i="8"/>
  <c r="Y93" i="8"/>
  <c r="X93" i="8"/>
  <c r="Y95" i="8"/>
  <c r="X95" i="8"/>
  <c r="X101" i="8"/>
  <c r="Y101" i="8"/>
  <c r="AO101" i="8" s="1"/>
  <c r="Y103" i="8"/>
  <c r="X103" i="8"/>
  <c r="AP116" i="8"/>
  <c r="X117" i="8"/>
  <c r="Y117" i="8"/>
  <c r="X123" i="8"/>
  <c r="V126" i="8"/>
  <c r="Y126" i="8" s="1"/>
  <c r="Y123" i="8"/>
  <c r="AM124" i="8"/>
  <c r="AN124" i="8"/>
  <c r="X151" i="8"/>
  <c r="Y151" i="8"/>
  <c r="V155" i="8"/>
  <c r="Y155" i="8" s="1"/>
  <c r="X155" i="8"/>
  <c r="V157" i="8"/>
  <c r="Y157" i="8" s="1"/>
  <c r="X157" i="8"/>
  <c r="Y167" i="8"/>
  <c r="X167" i="8"/>
  <c r="Y169" i="8"/>
  <c r="X169" i="8"/>
  <c r="Y185" i="8"/>
  <c r="X185" i="8"/>
  <c r="X187" i="8"/>
  <c r="Y187" i="8"/>
  <c r="AM190" i="8"/>
  <c r="AP190" i="8" s="1"/>
  <c r="AN190" i="8"/>
  <c r="X222" i="8"/>
  <c r="Y222" i="8"/>
  <c r="X251" i="8"/>
  <c r="Y251" i="8"/>
  <c r="Y263" i="8"/>
  <c r="X263" i="8"/>
  <c r="X267" i="8"/>
  <c r="Y267" i="8"/>
  <c r="X279" i="8"/>
  <c r="Y279" i="8"/>
  <c r="X281" i="8"/>
  <c r="Y281" i="8"/>
  <c r="Y293" i="8"/>
  <c r="X293" i="8"/>
  <c r="X297" i="8"/>
  <c r="Y297" i="8"/>
  <c r="Y299" i="8"/>
  <c r="W299" i="8"/>
  <c r="X299" i="8"/>
  <c r="R228" i="1"/>
  <c r="R261" i="1"/>
  <c r="R299" i="1"/>
  <c r="R344" i="1"/>
  <c r="AP6" i="8"/>
  <c r="Y7" i="8"/>
  <c r="X7" i="8"/>
  <c r="V25" i="8"/>
  <c r="AP25" i="8" s="1"/>
  <c r="X23" i="8"/>
  <c r="Y23" i="8"/>
  <c r="Y25" i="8" s="1"/>
  <c r="AO25" i="8" s="1"/>
  <c r="AP26" i="8"/>
  <c r="Y27" i="8"/>
  <c r="X27" i="8"/>
  <c r="AP28" i="8"/>
  <c r="V29" i="8"/>
  <c r="Y29" i="8" s="1"/>
  <c r="AO29" i="8" s="1"/>
  <c r="AO37" i="8"/>
  <c r="AP58" i="8"/>
  <c r="X49" i="8"/>
  <c r="Y49" i="8"/>
  <c r="AM72" i="8"/>
  <c r="AP72" i="8" s="1"/>
  <c r="Y60" i="8"/>
  <c r="X60" i="8"/>
  <c r="AP61" i="8"/>
  <c r="Y62" i="8"/>
  <c r="X62" i="8"/>
  <c r="AP64" i="8"/>
  <c r="X65" i="8"/>
  <c r="Y65" i="8"/>
  <c r="AP66" i="8"/>
  <c r="Y74" i="8"/>
  <c r="AO74" i="8" s="1"/>
  <c r="X74" i="8"/>
  <c r="Y82" i="8"/>
  <c r="AO82" i="8" s="1"/>
  <c r="X82" i="8"/>
  <c r="V87" i="8"/>
  <c r="Y87" i="8" s="1"/>
  <c r="AO87" i="8" s="1"/>
  <c r="Y84" i="8"/>
  <c r="X84" i="8"/>
  <c r="AP85" i="8"/>
  <c r="X92" i="8"/>
  <c r="Y92" i="8"/>
  <c r="X94" i="8"/>
  <c r="Y94" i="8"/>
  <c r="X96" i="8"/>
  <c r="Y96" i="8"/>
  <c r="AP97" i="8"/>
  <c r="AP99" i="8"/>
  <c r="AP101" i="8"/>
  <c r="X102" i="8"/>
  <c r="Y102" i="8"/>
  <c r="AO102" i="8" s="1"/>
  <c r="AM103" i="8"/>
  <c r="AP103" i="8" s="1"/>
  <c r="AN103" i="8"/>
  <c r="AP104" i="8"/>
  <c r="AP109" i="8"/>
  <c r="AP111" i="8"/>
  <c r="X112" i="8"/>
  <c r="Y112" i="8"/>
  <c r="Y114" i="8"/>
  <c r="AO114" i="8" s="1"/>
  <c r="X114" i="8"/>
  <c r="Y116" i="8"/>
  <c r="X116" i="8"/>
  <c r="AP117" i="8"/>
  <c r="V118" i="8"/>
  <c r="Y118" i="8" s="1"/>
  <c r="AO118" i="8" s="1"/>
  <c r="Y120" i="8"/>
  <c r="AO120" i="8" s="1"/>
  <c r="X120" i="8"/>
  <c r="Y122" i="8"/>
  <c r="AO122" i="8" s="1"/>
  <c r="X122" i="8"/>
  <c r="AP123" i="8"/>
  <c r="Y124" i="8"/>
  <c r="X124" i="8"/>
  <c r="AP131" i="8"/>
  <c r="AP132" i="8"/>
  <c r="Y133" i="8"/>
  <c r="Y134" i="8" s="1"/>
  <c r="AO134" i="8" s="1"/>
  <c r="Y143" i="8"/>
  <c r="AO143" i="8" s="1"/>
  <c r="AP142" i="8"/>
  <c r="V143" i="8"/>
  <c r="AP143" i="8" s="1"/>
  <c r="V144" i="8"/>
  <c r="Y144" i="8" s="1"/>
  <c r="AO144" i="8" s="1"/>
  <c r="X144" i="8"/>
  <c r="AP149" i="8"/>
  <c r="X150" i="8"/>
  <c r="Y150" i="8"/>
  <c r="AP151" i="8"/>
  <c r="Y152" i="8"/>
  <c r="X152" i="8"/>
  <c r="V154" i="8"/>
  <c r="Y154" i="8" s="1"/>
  <c r="X154" i="8"/>
  <c r="X158" i="8"/>
  <c r="Y158" i="8"/>
  <c r="AP159" i="8"/>
  <c r="X160" i="8"/>
  <c r="Y160" i="8"/>
  <c r="Y162" i="8"/>
  <c r="X162" i="8"/>
  <c r="AP163" i="8"/>
  <c r="Y168" i="8"/>
  <c r="X168" i="8"/>
  <c r="Y170" i="8"/>
  <c r="X170" i="8"/>
  <c r="AP171" i="8"/>
  <c r="Y172" i="8"/>
  <c r="X172" i="8"/>
  <c r="X184" i="8"/>
  <c r="Y184" i="8"/>
  <c r="V186" i="8"/>
  <c r="Y186" i="8" s="1"/>
  <c r="X186" i="8"/>
  <c r="AP187" i="8"/>
  <c r="Y188" i="8"/>
  <c r="X188" i="8"/>
  <c r="AP192" i="8"/>
  <c r="X193" i="8"/>
  <c r="Y193" i="8"/>
  <c r="AP203" i="8"/>
  <c r="X221" i="8"/>
  <c r="Y221" i="8"/>
  <c r="AP222" i="8"/>
  <c r="Y223" i="8"/>
  <c r="X223" i="8"/>
  <c r="X238" i="8"/>
  <c r="Y238" i="8"/>
  <c r="X240" i="8"/>
  <c r="Y240" i="8"/>
  <c r="AP241" i="8"/>
  <c r="Y242" i="8"/>
  <c r="X242" i="8"/>
  <c r="AP243" i="8"/>
  <c r="AP249" i="8"/>
  <c r="Y250" i="8"/>
  <c r="X250" i="8"/>
  <c r="AP251" i="8"/>
  <c r="AP256" i="8"/>
  <c r="X257" i="8"/>
  <c r="Y257" i="8"/>
  <c r="AP258" i="8"/>
  <c r="Y259" i="8"/>
  <c r="X259" i="8"/>
  <c r="X262" i="8"/>
  <c r="Y262" i="8"/>
  <c r="AP267" i="8"/>
  <c r="Y268" i="8"/>
  <c r="X268" i="8"/>
  <c r="AP269" i="8"/>
  <c r="X270" i="8"/>
  <c r="Y270" i="8"/>
  <c r="AP271" i="8"/>
  <c r="Y275" i="8"/>
  <c r="X275" i="8"/>
  <c r="X278" i="8"/>
  <c r="Y278" i="8"/>
  <c r="AP279" i="8"/>
  <c r="AP281" i="8"/>
  <c r="AP288" i="8"/>
  <c r="X290" i="8"/>
  <c r="Y292" i="8"/>
  <c r="X292" i="8"/>
  <c r="AP295" i="8"/>
  <c r="X296" i="8"/>
  <c r="Y296" i="8"/>
  <c r="AP297" i="8"/>
  <c r="AP318" i="8"/>
  <c r="AP339" i="8"/>
  <c r="X342" i="8"/>
  <c r="Y342" i="8"/>
  <c r="X346" i="8"/>
  <c r="Y346" i="8"/>
  <c r="V8" i="8"/>
  <c r="Y8" i="8" s="1"/>
  <c r="Y4" i="8"/>
  <c r="AM8" i="8"/>
  <c r="AP8" i="8" s="1"/>
  <c r="AP4" i="8"/>
  <c r="AP5" i="8"/>
  <c r="AP10" i="8"/>
  <c r="AP13" i="8"/>
  <c r="AP15" i="8"/>
  <c r="AP17" i="8"/>
  <c r="AP19" i="8"/>
  <c r="AP21" i="8"/>
  <c r="V22" i="8"/>
  <c r="Y22" i="8" s="1"/>
  <c r="AO22" i="8" s="1"/>
  <c r="AP31" i="8"/>
  <c r="V32" i="8"/>
  <c r="Y32" i="8" s="1"/>
  <c r="AO32" i="8" s="1"/>
  <c r="V37" i="8"/>
  <c r="AP37" i="8" s="1"/>
  <c r="Y36" i="8"/>
  <c r="V41" i="8"/>
  <c r="Y41" i="8" s="1"/>
  <c r="AO41" i="8" s="1"/>
  <c r="X39" i="8"/>
  <c r="AP41" i="8"/>
  <c r="V47" i="8"/>
  <c r="Y47" i="8" s="1"/>
  <c r="AO47" i="8" s="1"/>
  <c r="Y43" i="8"/>
  <c r="AP73" i="8"/>
  <c r="AP75" i="8"/>
  <c r="AP77" i="8"/>
  <c r="AP78" i="8"/>
  <c r="AP79" i="8"/>
  <c r="AP80" i="8"/>
  <c r="AP81" i="8"/>
  <c r="AP83" i="8"/>
  <c r="V90" i="8"/>
  <c r="Y88" i="8"/>
  <c r="Y90" i="8" s="1"/>
  <c r="AO90" i="8" s="1"/>
  <c r="AP90" i="8"/>
  <c r="AP88" i="8"/>
  <c r="AP98" i="8"/>
  <c r="AO100" i="8"/>
  <c r="V107" i="8"/>
  <c r="Y105" i="8"/>
  <c r="Y107" i="8" s="1"/>
  <c r="AM107" i="8"/>
  <c r="AP107" i="8" s="1"/>
  <c r="AP105" i="8"/>
  <c r="AP108" i="8"/>
  <c r="AP110" i="8"/>
  <c r="AP115" i="8"/>
  <c r="AP119" i="8"/>
  <c r="AP121" i="8"/>
  <c r="AP125" i="8"/>
  <c r="V129" i="8"/>
  <c r="Y127" i="8"/>
  <c r="Y129" i="8" s="1"/>
  <c r="AO129" i="8" s="1"/>
  <c r="AP127" i="8"/>
  <c r="AP133" i="8"/>
  <c r="AP136" i="8"/>
  <c r="AP147" i="8"/>
  <c r="AP164" i="8"/>
  <c r="AP175" i="8"/>
  <c r="AP176" i="8"/>
  <c r="AP177" i="8"/>
  <c r="AP179" i="8"/>
  <c r="AP181" i="8"/>
  <c r="AP182" i="8"/>
  <c r="AP189" i="8"/>
  <c r="AP195" i="8"/>
  <c r="AP198" i="8"/>
  <c r="AP205" i="8"/>
  <c r="AP207" i="8"/>
  <c r="AP208" i="8"/>
  <c r="AP210" i="8"/>
  <c r="AP212" i="8"/>
  <c r="AP218" i="8"/>
  <c r="AP225" i="8"/>
  <c r="AP232" i="8"/>
  <c r="AP233" i="8"/>
  <c r="Y234" i="8"/>
  <c r="W234" i="8"/>
  <c r="AP246" i="8"/>
  <c r="AP247" i="8"/>
  <c r="AP254" i="8"/>
  <c r="Y265" i="8"/>
  <c r="W265" i="8"/>
  <c r="AP284" i="8"/>
  <c r="AM294" i="8"/>
  <c r="AP294" i="8" s="1"/>
  <c r="AP300" i="8"/>
  <c r="AP302" i="8"/>
  <c r="AP305" i="8"/>
  <c r="AP308" i="8"/>
  <c r="AP310" i="8"/>
  <c r="AP311" i="8"/>
  <c r="AP312" i="8"/>
  <c r="AP315" i="8"/>
  <c r="AP331" i="8"/>
  <c r="AP337" i="8"/>
  <c r="X338" i="8"/>
  <c r="Y338" i="8"/>
  <c r="X340" i="8"/>
  <c r="Y340" i="8"/>
  <c r="AP342" i="8"/>
  <c r="X345" i="8"/>
  <c r="Y345" i="8"/>
  <c r="AP346" i="8"/>
  <c r="Y364" i="8"/>
  <c r="X364" i="8"/>
  <c r="Y400" i="8"/>
  <c r="X400" i="8"/>
  <c r="Y409" i="8"/>
  <c r="X409" i="8"/>
  <c r="Y411" i="8"/>
  <c r="X411" i="8"/>
  <c r="AP23" i="8"/>
  <c r="AP39" i="8"/>
  <c r="AP42" i="8"/>
  <c r="AP48" i="8"/>
  <c r="AP59" i="8"/>
  <c r="U319" i="8"/>
  <c r="Q319" i="8"/>
  <c r="AP321" i="8"/>
  <c r="AP329" i="8"/>
  <c r="AP334" i="8"/>
  <c r="Y349" i="8"/>
  <c r="W349" i="8"/>
  <c r="AP350" i="8"/>
  <c r="AP351" i="8"/>
  <c r="AP353" i="8"/>
  <c r="AP354" i="8"/>
  <c r="AP360" i="8"/>
  <c r="Y362" i="8"/>
  <c r="X362" i="8"/>
  <c r="AP364" i="8"/>
  <c r="Y366" i="8"/>
  <c r="X366" i="8"/>
  <c r="Y367" i="8"/>
  <c r="X367" i="8"/>
  <c r="Y369" i="8"/>
  <c r="X369" i="8"/>
  <c r="Y398" i="8"/>
  <c r="X398" i="8"/>
  <c r="AP400" i="8"/>
  <c r="Y402" i="8"/>
  <c r="X402" i="8"/>
  <c r="Y406" i="8"/>
  <c r="X406" i="8"/>
  <c r="Y407" i="8"/>
  <c r="X407" i="8"/>
  <c r="AP409" i="8"/>
  <c r="AP411" i="8"/>
  <c r="Y416" i="8"/>
  <c r="X416" i="8"/>
  <c r="Y417" i="8"/>
  <c r="X417" i="8"/>
  <c r="Y361" i="8"/>
  <c r="Y363" i="8"/>
  <c r="Y370" i="8"/>
  <c r="X371" i="8"/>
  <c r="Y373" i="8"/>
  <c r="Y399" i="8"/>
  <c r="Y401" i="8"/>
  <c r="X403" i="8"/>
  <c r="AN406" i="8"/>
  <c r="Y408" i="8"/>
  <c r="AN412" i="8"/>
  <c r="Y418" i="8"/>
  <c r="AP29" i="8" l="1"/>
  <c r="AP154" i="8"/>
  <c r="AP413" i="8"/>
  <c r="AP141" i="8"/>
  <c r="AO8" i="8"/>
  <c r="AP124" i="8"/>
  <c r="AM126" i="8"/>
  <c r="AP126" i="8" s="1"/>
  <c r="AO103" i="8"/>
  <c r="AP118" i="8"/>
  <c r="AP157" i="8"/>
  <c r="AP186" i="8"/>
  <c r="X319" i="8"/>
  <c r="V319" i="8"/>
  <c r="AO107" i="8"/>
  <c r="AP47" i="8"/>
  <c r="AP32" i="8"/>
  <c r="AP22" i="8"/>
  <c r="AP144" i="8"/>
  <c r="AO72" i="8"/>
  <c r="AP113" i="8"/>
  <c r="AP155" i="8"/>
  <c r="AO126" i="8" l="1"/>
  <c r="Y319" i="8"/>
  <c r="AP319" i="8"/>
</calcChain>
</file>

<file path=xl/sharedStrings.xml><?xml version="1.0" encoding="utf-8"?>
<sst xmlns="http://schemas.openxmlformats.org/spreadsheetml/2006/main" count="8800" uniqueCount="3934">
  <si>
    <t>ПАТ "Укртелеком"</t>
  </si>
  <si>
    <t>м.Київ, б-р Шевченка, буд.18</t>
  </si>
  <si>
    <t>6510700000:18:084:0005</t>
  </si>
  <si>
    <t>вул.Таврійська,6-а</t>
  </si>
  <si>
    <t>№12006681 від 11.11.2015</t>
  </si>
  <si>
    <t>№12006681</t>
  </si>
  <si>
    <t>11,11,2015</t>
  </si>
  <si>
    <t>р.с.№561 від 10.11.2016 / 17.07.2017</t>
  </si>
  <si>
    <t>землі Н.П.</t>
  </si>
  <si>
    <t>№171/86-17 від 27.02.2017 року</t>
  </si>
  <si>
    <t>6510700000:01:016:0049</t>
  </si>
  <si>
    <t>вул.Першотравнева,29</t>
  </si>
  <si>
    <t>№172/86-17 від 28.02.2017 року</t>
  </si>
  <si>
    <t>ПАТ  "Укртелеком"</t>
  </si>
  <si>
    <t>6510700000:01:001:0518</t>
  </si>
  <si>
    <t xml:space="preserve">вул.Історична, 24 </t>
  </si>
  <si>
    <t xml:space="preserve">№8555034 </t>
  </si>
  <si>
    <t>30,01,2015</t>
  </si>
  <si>
    <t>ПАТ  "Укртелеком" та УДППЗ "Укрпошта"</t>
  </si>
  <si>
    <t>6510700000:01:001:0520</t>
  </si>
  <si>
    <t>вул.Історична, 24-а</t>
  </si>
  <si>
    <t>№8553034</t>
  </si>
  <si>
    <t>ПАТ  "Фірма Херсоноблагробуд"</t>
  </si>
  <si>
    <t>пл.Сільських будівельників ,1</t>
  </si>
  <si>
    <t>6510700000:01:001:0724</t>
  </si>
  <si>
    <t>вул.Промислова,7</t>
  </si>
  <si>
    <t>№89;11.04.01/27.02.01 угоди №050873200034 від 29.12.08; 050873200033 від 29.12.08</t>
  </si>
  <si>
    <t>11,04,2001</t>
  </si>
  <si>
    <t>ВАТ "Фірма Херсоноблагробуд"</t>
  </si>
  <si>
    <t>6510700000:01:001:0725</t>
  </si>
  <si>
    <t>6510700000:</t>
  </si>
  <si>
    <t>6510700000:01:001:0726</t>
  </si>
  <si>
    <t>6510700000:01:001:0727</t>
  </si>
  <si>
    <t>6510700000:01:001:0728</t>
  </si>
  <si>
    <t>6510700000:01:001:0729</t>
  </si>
  <si>
    <t>6510700000:01:001:0730</t>
  </si>
  <si>
    <t>6510700000:01:001:0731</t>
  </si>
  <si>
    <t>6510700000:01:001:0732</t>
  </si>
  <si>
    <t>6510700000:01:001:0733</t>
  </si>
  <si>
    <t>договір оренди від 27.02.2001 року №2-491; угода від 29 грудня 2008 року №050873200032</t>
  </si>
  <si>
    <t>6510700000:01:001:0734</t>
  </si>
  <si>
    <t>договір оренди від 27.02.2001 року №2-491; угода від 29.02.2008 року №050873200034</t>
  </si>
  <si>
    <t>договір оренди від 27.02.2001 року №2-491; угода від 29.02.2008 року №050873200033; договір про внесення змін до договору оренди земельної ділянки від 07.09.2012 року №651070004000234</t>
  </si>
  <si>
    <t>вул.Затишна, 19</t>
  </si>
  <si>
    <t>6510700000:01:003:0060</t>
  </si>
  <si>
    <t>вул.Заводська</t>
  </si>
  <si>
    <t>ТОВ "ОВЗП Херсонвторресурси"</t>
  </si>
  <si>
    <t>вул. Нафтовиків, 1, м. Херсон</t>
  </si>
  <si>
    <t>651070000:31:073:0001</t>
  </si>
  <si>
    <t>вул.Індустріальна, 23</t>
  </si>
  <si>
    <t>№829 від 25.05.2017</t>
  </si>
  <si>
    <t>№24464260 від 16.01.2018</t>
  </si>
  <si>
    <t>№24464260</t>
  </si>
  <si>
    <t>№80/0/209-17 від 15.06.2017</t>
  </si>
  <si>
    <t>ТОВ "ОВЗП "Херсонвторресурси"</t>
  </si>
  <si>
    <t>651070000:11:046:0026</t>
  </si>
  <si>
    <t>вул.Затишна,в районі буд.44</t>
  </si>
  <si>
    <t>витяг №7888218 від 01.12.2014</t>
  </si>
  <si>
    <t>№7888218</t>
  </si>
  <si>
    <t>01,12,2014</t>
  </si>
  <si>
    <t>651070000:01:016:0038</t>
  </si>
  <si>
    <t>№625 від 15.12.2016</t>
  </si>
  <si>
    <t>витяг №19282804  від 24.02.2017</t>
  </si>
  <si>
    <t>№19282804</t>
  </si>
  <si>
    <t>24,02,2017</t>
  </si>
  <si>
    <t>23,04,2018</t>
  </si>
  <si>
    <t>ТОВ"Тавіс"</t>
  </si>
  <si>
    <t>вул.Першотравнева, 38</t>
  </si>
  <si>
    <t xml:space="preserve">6510700000:01:001:0329 </t>
  </si>
  <si>
    <t>вул.Першотравнева,38-а</t>
  </si>
  <si>
    <t>27,08,2013</t>
  </si>
  <si>
    <t>ТОВ"Тавіс" (Суборенда ПП "Спутник")</t>
  </si>
  <si>
    <t>6510700000:01:001:0330</t>
  </si>
  <si>
    <t>ТОВ"Олеся"</t>
  </si>
  <si>
    <t>651070000:03:014:0115</t>
  </si>
  <si>
    <t>вул.Французська,4-д</t>
  </si>
  <si>
    <t>№6911229</t>
  </si>
  <si>
    <t>10.07.2017 Р.С.№829 від 25.05.2017</t>
  </si>
  <si>
    <t xml:space="preserve">№115/0/209-17 від 30.06.2017 року </t>
  </si>
  <si>
    <t>вул.Електроомашинобудівників, 5</t>
  </si>
  <si>
    <t>6510700000:01:001:0159</t>
  </si>
  <si>
    <t>вул.Індустріальна, 25-а</t>
  </si>
  <si>
    <t>17,09,2013</t>
  </si>
  <si>
    <t xml:space="preserve"> №3084017 </t>
  </si>
  <si>
    <t>14,11,2018 Р,С. №1547 від 25.10.2018</t>
  </si>
  <si>
    <t>№28-21-0.182-157/0/209-18 від 05.11.2018</t>
  </si>
  <si>
    <t>6510700000:01:001:1156</t>
  </si>
  <si>
    <t>вул.Електромашинобудівників, 5</t>
  </si>
  <si>
    <t>№967 від 05.10.2017</t>
  </si>
  <si>
    <t>№24374964 від 09.01.2018</t>
  </si>
  <si>
    <t>№2437496</t>
  </si>
  <si>
    <t>№254/0/209-17 від 12.10.2017</t>
  </si>
  <si>
    <t>6510700000:01:001:1157</t>
  </si>
  <si>
    <t>вул.Електромашинобудівників, 5-а</t>
  </si>
  <si>
    <t>№967 від 05.10.2018</t>
  </si>
  <si>
    <t>№24374626 від 09.01.2018</t>
  </si>
  <si>
    <t>№24374626</t>
  </si>
  <si>
    <t>№253/0/209-17 від 12.10.2017</t>
  </si>
  <si>
    <t>ТОВ "Союздрук" ЛТД</t>
  </si>
  <si>
    <t>м.Херсон вул.Університетська, 31</t>
  </si>
  <si>
    <t>6510700000:01:002:0055</t>
  </si>
  <si>
    <t>вул. Першотравнева</t>
  </si>
  <si>
    <t>6510700000:11:045:0008</t>
  </si>
  <si>
    <t>пр.Перемоги,20</t>
  </si>
  <si>
    <t>ПП "Яблоня"</t>
  </si>
  <si>
    <t>вул.Першотравнева,1-а</t>
  </si>
  <si>
    <t>6510700000:01:002:0009</t>
  </si>
  <si>
    <t>№224 від 25.02.2016</t>
  </si>
  <si>
    <t>ТОВ "Гріс"</t>
  </si>
  <si>
    <t>вул.Горького, 7/100</t>
  </si>
  <si>
    <t>6510700000:01:017:0005</t>
  </si>
  <si>
    <t>вул.Букіна, 58"Д"</t>
  </si>
  <si>
    <t>№829 від 25,05,2017</t>
  </si>
  <si>
    <t>витяг №6721098 від 19.08.2014</t>
  </si>
  <si>
    <t>19,08,2014</t>
  </si>
  <si>
    <t xml:space="preserve">№6721098 </t>
  </si>
  <si>
    <t>13,07,2017</t>
  </si>
  <si>
    <t xml:space="preserve">№79/0/209-17 від 14.06.2017 </t>
  </si>
  <si>
    <t>6510700000:01:017:0037</t>
  </si>
  <si>
    <t>вул.Букіна р-н ПМК-157</t>
  </si>
  <si>
    <t>№1093 від 24.04.2013</t>
  </si>
  <si>
    <t>№2041565 від 02.08.2013</t>
  </si>
  <si>
    <t>№2041565</t>
  </si>
  <si>
    <t>02.08.21013</t>
  </si>
  <si>
    <t xml:space="preserve">№97-21-0.182-955/0/209-18 від 21.06.2018 року </t>
  </si>
  <si>
    <t>ТОВ "Торг-Сервіс"</t>
  </si>
  <si>
    <t>6510700000:01:001:0740</t>
  </si>
  <si>
    <t>вул.Першотравнева, 53</t>
  </si>
  <si>
    <t>№2258 від 08.10.2015</t>
  </si>
  <si>
    <t>№24954388 від 19.02.2018</t>
  </si>
  <si>
    <t>№24954388</t>
  </si>
  <si>
    <t>19,02,2018</t>
  </si>
  <si>
    <t>№17/0/209-17 від 19.04.2017</t>
  </si>
  <si>
    <t>№1547 від 25.10.2018</t>
  </si>
  <si>
    <t>05,12,2018</t>
  </si>
  <si>
    <t>ПАТ "Херсонгаз"</t>
  </si>
  <si>
    <t>вул. Поповича, 3,  м. Херсон</t>
  </si>
  <si>
    <t>651070000:01:017:0047</t>
  </si>
  <si>
    <t>651070000:01:017:0040</t>
  </si>
  <si>
    <t>6510700000:01:018:0040</t>
  </si>
  <si>
    <t>6510700000:07:009:0018</t>
  </si>
  <si>
    <t>6510700000:32:074:0002</t>
  </si>
  <si>
    <t>вул. Горького, 38-а</t>
  </si>
  <si>
    <t>6510700000:11:046:0035</t>
  </si>
  <si>
    <t>6510700000:11:045:0025</t>
  </si>
  <si>
    <t>6510700000:29:056:0013</t>
  </si>
  <si>
    <t>6510700000:14:063:0003</t>
  </si>
  <si>
    <t>651070000:01:018:0034</t>
  </si>
  <si>
    <t>вул. Пестеля, 5 м. Херсон</t>
  </si>
  <si>
    <t>6510700000:03:014:0011</t>
  </si>
  <si>
    <t>АТ "Херсонобленерго"</t>
  </si>
  <si>
    <t xml:space="preserve"> м. Херсон вул. Пестеля, 5</t>
  </si>
  <si>
    <t>6510700000:01:001:1204</t>
  </si>
  <si>
    <t>вул. Ріхарда Зорге, в районі г/к "Славутич"</t>
  </si>
  <si>
    <t>№1206 від 08.02.2018</t>
  </si>
  <si>
    <t xml:space="preserve"> №26272433 </t>
  </si>
  <si>
    <t>№327/0/209-17 від 08.12.2017</t>
  </si>
  <si>
    <t>6510700000:01:001:1143</t>
  </si>
  <si>
    <t>вул.Французька, 79</t>
  </si>
  <si>
    <t>№970 від 05.10.2017</t>
  </si>
  <si>
    <t xml:space="preserve"> №26271961</t>
  </si>
  <si>
    <t>№297/0/209-17 від 14.11.2017</t>
  </si>
  <si>
    <t>6510700000:01:001:1278</t>
  </si>
  <si>
    <t>№1370 від 06.06.2018</t>
  </si>
  <si>
    <t>17,07,2018</t>
  </si>
  <si>
    <t xml:space="preserve"> №27508883</t>
  </si>
  <si>
    <t>№97-21-0.182-910/0/209-18 від 08.06.2018</t>
  </si>
  <si>
    <t xml:space="preserve">6510700000:01:001:1336;   6510700000:01:001:1337;   </t>
  </si>
  <si>
    <t>вул.Горького, ( в районі ринку "Сокіл")</t>
  </si>
  <si>
    <t>№1467 від 07.08.2018</t>
  </si>
  <si>
    <t xml:space="preserve">витяг №28418083 </t>
  </si>
  <si>
    <t>39616,90; 9562,70</t>
  </si>
  <si>
    <t>№28-21-0.182-1020/0/209-18; №28-21-0.182-1019/0/209-18 від 11.07.2018</t>
  </si>
  <si>
    <t>Новокаховська міська організація Українського товариства мисливців та рибалок</t>
  </si>
  <si>
    <t>пр.Дніпровський,46</t>
  </si>
  <si>
    <t>6510700000:05:022:0003</t>
  </si>
  <si>
    <t>№12512169 від 14,12,2015</t>
  </si>
  <si>
    <t>№12512169</t>
  </si>
  <si>
    <t>р.с №1549 від 25.10.2018 9 (угода№1)</t>
  </si>
  <si>
    <t>ПП "УСПІХ АО НАЛ"</t>
  </si>
  <si>
    <t>пр. Дніпровський, 3/7</t>
  </si>
  <si>
    <t>651070000:01:002:0079</t>
  </si>
  <si>
    <t xml:space="preserve">№10832354 від 17.08.2015  </t>
  </si>
  <si>
    <t>17,08,2015</t>
  </si>
  <si>
    <t>ТОВ "Ітера Україна"</t>
  </si>
  <si>
    <t>м.Київ, вул.Чигорина, 2</t>
  </si>
  <si>
    <t>вул. Індустріальна</t>
  </si>
  <si>
    <t>0406732000023 від 17.04.2006</t>
  </si>
  <si>
    <t>ВАТ "Укрнафта"</t>
  </si>
  <si>
    <t>м.Київ, пров.Несторівський, буд.3-5</t>
  </si>
  <si>
    <t>вул. Першотравнева,28-в</t>
  </si>
  <si>
    <t>19,10,2016</t>
  </si>
  <si>
    <t>ПП "Відродження"</t>
  </si>
  <si>
    <t>пр.Дніпровський, 26-а</t>
  </si>
  <si>
    <t>ТОВ "Тенісно-спортивний клуб "Нова Каховка"</t>
  </si>
  <si>
    <t>м.Нова Каховка, вул.Французька, 4-д</t>
  </si>
  <si>
    <t>651070000:01:017:0065</t>
  </si>
  <si>
    <t>вул.Дружби, в р-ні буд. №3 та №5</t>
  </si>
  <si>
    <t>№882 від 13.07.2017</t>
  </si>
  <si>
    <t>№22728576 від 05.10.2017</t>
  </si>
  <si>
    <t>№22728576</t>
  </si>
  <si>
    <t xml:space="preserve"> 05.10.2017</t>
  </si>
  <si>
    <t>№180/0/209-17 від 07.08.2017</t>
  </si>
  <si>
    <t>ВНЗ "Відкритий міжнародний універсітет розвитку людини "Україна"</t>
  </si>
  <si>
    <t>м.Київ, вул.Хорива, 1-г</t>
  </si>
  <si>
    <t>6510700000:12:054:0038</t>
  </si>
  <si>
    <t xml:space="preserve">вул. Горького, 9-д Загальна 0,1003 га </t>
  </si>
  <si>
    <t>№774 від 20.05.2008</t>
  </si>
  <si>
    <t>№23953224</t>
  </si>
  <si>
    <t>р.с. №985 від 05.10.2017</t>
  </si>
  <si>
    <t>№257/0/209-17 від 17.10.2017 року</t>
  </si>
  <si>
    <t>ТОВ "Південенерго"</t>
  </si>
  <si>
    <t>просп.Перемоги, 7</t>
  </si>
  <si>
    <t xml:space="preserve"> №23956364 </t>
  </si>
  <si>
    <t>ТОВ "Агротерміз-Термоізоляція"</t>
  </si>
  <si>
    <t>вул.Заводська, 3-б</t>
  </si>
  <si>
    <t>651070000:03:014:0098</t>
  </si>
  <si>
    <t>ТОВ "Інвест-Регіон"</t>
  </si>
  <si>
    <t>м. Київ, вул. Грінченка, 4</t>
  </si>
  <si>
    <t>6510700000:04:029:0006</t>
  </si>
  <si>
    <t>вул.Французська, 35</t>
  </si>
  <si>
    <t xml:space="preserve">витяг №5376427 </t>
  </si>
  <si>
    <t>від 15.04.2014</t>
  </si>
  <si>
    <t>р.с. №769 від 30.03.2017 / 17.07.2017</t>
  </si>
  <si>
    <t>від 19.04.2017 року №13/0/209-17</t>
  </si>
  <si>
    <t>ПП "Ліна"</t>
  </si>
  <si>
    <t>вул.Затишна, 28-б</t>
  </si>
  <si>
    <t>6510700000:04:029:0007</t>
  </si>
  <si>
    <t>вул.Електромашинобудівників (в районі ХМЕМ)</t>
  </si>
  <si>
    <t>№690 від 17.01.2017</t>
  </si>
  <si>
    <t>06,02,2017</t>
  </si>
  <si>
    <t xml:space="preserve"> №5317574 від 11.04.2014</t>
  </si>
  <si>
    <t xml:space="preserve">№56/86-17 від 27.01.2017 </t>
  </si>
  <si>
    <t>ТОВ "Ітек"</t>
  </si>
  <si>
    <t>вул.Фабрична, 5-б</t>
  </si>
  <si>
    <t>651070000:13:047:0016</t>
  </si>
  <si>
    <t>№890 від 13.07.2017</t>
  </si>
  <si>
    <t>№10033518 від 15.06.2015</t>
  </si>
  <si>
    <t>23,02,2018</t>
  </si>
  <si>
    <t>№10033518</t>
  </si>
  <si>
    <t>15,06,2015</t>
  </si>
  <si>
    <t>№181/0/209-17 від 08.08.2017</t>
  </si>
  <si>
    <t>651070000:01:001:1318</t>
  </si>
  <si>
    <t>вул.Фабрична, 5-а</t>
  </si>
  <si>
    <t>№29389909 від 07.12.2018</t>
  </si>
  <si>
    <t>01,11,2018</t>
  </si>
  <si>
    <t>№29389909</t>
  </si>
  <si>
    <t xml:space="preserve"> 07.12.2018</t>
  </si>
  <si>
    <t>№31-21-0.182-1509/0/209-18 від 26.10.2018</t>
  </si>
  <si>
    <t>6510700000:32:074:0006</t>
  </si>
  <si>
    <t>вул.Індустріальна, 7</t>
  </si>
  <si>
    <t>22,12,2016</t>
  </si>
  <si>
    <t>03115, м.Київ, пр.Перемоги, буд.121-в</t>
  </si>
  <si>
    <t>6510700000:25:050:0001</t>
  </si>
  <si>
    <t>вул.Індустріальна, 12</t>
  </si>
  <si>
    <t>№19321838 від 28,02,2017</t>
  </si>
  <si>
    <t xml:space="preserve">№19321838 </t>
  </si>
  <si>
    <t>28,02,2017</t>
  </si>
  <si>
    <t>651070004000116 від 28.02.2012</t>
  </si>
  <si>
    <t>ТОВ "Новокаховський електромашинобудівний завод"</t>
  </si>
  <si>
    <t>вул.Першотравнева, 35-ч</t>
  </si>
  <si>
    <t>28,02,2012</t>
  </si>
  <si>
    <t>вул.Електромашинобудівників, 17</t>
  </si>
  <si>
    <t>651070004000117 від 28.02.2012</t>
  </si>
  <si>
    <t>вул.Першотравнева, 35-л</t>
  </si>
  <si>
    <t>651070004000118 від 28.02.2012</t>
  </si>
  <si>
    <t>вул.Електромашинобудівників, 33</t>
  </si>
  <si>
    <t>651070004000194 від 09.08.2012</t>
  </si>
  <si>
    <t>09,08,2012</t>
  </si>
  <si>
    <t>вул.Електромашинобудівників, 27-б</t>
  </si>
  <si>
    <t>651070004000307 від 05.12.2012</t>
  </si>
  <si>
    <t>05,12,2012</t>
  </si>
  <si>
    <t>6510700000:01:001:0412</t>
  </si>
  <si>
    <t>вул.Першотравнева, 35-б</t>
  </si>
  <si>
    <t>витяг №4612160 від 06.02.2014</t>
  </si>
  <si>
    <t>06,02,2014</t>
  </si>
  <si>
    <t>КТ "Львоворгсинтез" фірма "БІТ" і "КОМПАНІЯ"</t>
  </si>
  <si>
    <t>вул. Фабрична, буд.1</t>
  </si>
  <si>
    <t>6510700000:25:069:0007</t>
  </si>
  <si>
    <t>вул.Індустріальна, 31</t>
  </si>
  <si>
    <t>№1050 від 23.11.2017</t>
  </si>
  <si>
    <t>№24347744 від 05.01.2018</t>
  </si>
  <si>
    <t>№24237744</t>
  </si>
  <si>
    <t>№343/0/209-17 від 18.12.2017</t>
  </si>
  <si>
    <t>ПП "Шом"</t>
  </si>
  <si>
    <t>6510700000:01:001:0152</t>
  </si>
  <si>
    <t>вул.Індустріальна, 3</t>
  </si>
  <si>
    <t>09,11,2015</t>
  </si>
  <si>
    <t>ТОВ "НК ДЕВЕЛОПМЕНТ"</t>
  </si>
  <si>
    <t>м. Н.Каховка вул.Індустріальна, 17-д</t>
  </si>
  <si>
    <t>6510700000:01:001:0356</t>
  </si>
  <si>
    <t>вул.Індустріальна, 17-д</t>
  </si>
  <si>
    <t>№1156 від 21.12.2017</t>
  </si>
  <si>
    <t>витяг №17474055 від 25.11.2014</t>
  </si>
  <si>
    <t>витяг №17474055</t>
  </si>
  <si>
    <t xml:space="preserve"> №7821021 28.02.2018</t>
  </si>
  <si>
    <t>№535/209-18 від 15.02.2018</t>
  </si>
  <si>
    <t>6510700000:11:045:0040</t>
  </si>
  <si>
    <t>ТОВ "Монтажник"</t>
  </si>
  <si>
    <t>6510700000:01:001:0671</t>
  </si>
  <si>
    <t>вул.Першотравнева, 43-а</t>
  </si>
  <si>
    <t>6510700000:01:001:0835</t>
  </si>
  <si>
    <t>вул.Р.Зорге-вул.Соборна</t>
  </si>
  <si>
    <t>30,08,2016</t>
  </si>
  <si>
    <t>Громадська організація "Олександрія"</t>
  </si>
  <si>
    <t>м. Н.Каховка пр. Дніпровський, 2</t>
  </si>
  <si>
    <t>6510700000:02:011:0021</t>
  </si>
  <si>
    <t>пр.Дніпровський, 2</t>
  </si>
  <si>
    <t>№1443 від 07.08.2018</t>
  </si>
  <si>
    <t>№14664608 від 23.05.2016</t>
  </si>
  <si>
    <t>№14664608</t>
  </si>
  <si>
    <t>№31-21-0.182-1275/0/209-18 від 11.09.2018</t>
  </si>
  <si>
    <t>ПрАТ "МТС України"</t>
  </si>
  <si>
    <t>6510700000:01:004:0102</t>
  </si>
  <si>
    <t>Новокаховська автомобільна школа товариства сприяння оборони Україна</t>
  </si>
  <si>
    <t>пр. Дніпровський, 4</t>
  </si>
  <si>
    <t>6510700000:01:002:0001</t>
  </si>
  <si>
    <t>вул. Історична, 2-к</t>
  </si>
  <si>
    <t>від 09.06.2016 №310</t>
  </si>
  <si>
    <t>№19289479 від 24,02,2017</t>
  </si>
  <si>
    <t>09,08,2016</t>
  </si>
  <si>
    <t>№19289479</t>
  </si>
  <si>
    <t>ТОВ "Система-Майстер"</t>
  </si>
  <si>
    <t>вул. (П.Комуни), Французька, 4-а</t>
  </si>
  <si>
    <t>6510700000:05:010:0003</t>
  </si>
  <si>
    <t xml:space="preserve">просп.Дніпровський, 44 </t>
  </si>
  <si>
    <t>№21934337 від 16.08.2017</t>
  </si>
  <si>
    <t>№21934337</t>
  </si>
  <si>
    <t>16,08,2017</t>
  </si>
  <si>
    <t>№167/0/209-17 від 26.07.2017</t>
  </si>
  <si>
    <t>ТОВ "Група компаній Содружество"</t>
  </si>
  <si>
    <t>6510700000:14:063:0001</t>
  </si>
  <si>
    <t>вул.Індустріальна, 1</t>
  </si>
  <si>
    <t>№24244319</t>
  </si>
  <si>
    <t xml:space="preserve"> 26,12,2017</t>
  </si>
  <si>
    <t>№72/0/209-17 від 09.06.2017</t>
  </si>
  <si>
    <t xml:space="preserve">ТОВ "Асоціація Перевізників Каховщини" </t>
  </si>
  <si>
    <t>вул. Фабрична, буд.6-в</t>
  </si>
  <si>
    <t>6510700000:15:048:0006</t>
  </si>
  <si>
    <t>вул. Фабрична, 6-в</t>
  </si>
  <si>
    <t>№310 від 09.06.2016</t>
  </si>
  <si>
    <t>№24384848 від 11.01.2018</t>
  </si>
  <si>
    <t>№24384848</t>
  </si>
  <si>
    <t>№332/0/209-17 від 13.12.2017</t>
  </si>
  <si>
    <t>ТОВ "Каховка Трейдінг"</t>
  </si>
  <si>
    <t>79040 м. Львів, вул. Городоцька, буд.355, оф.222</t>
  </si>
  <si>
    <t>6510700000:01:001:0459</t>
  </si>
  <si>
    <t xml:space="preserve">вул. Французька (П.Комуни), 8-а </t>
  </si>
  <si>
    <t xml:space="preserve">№24871101  </t>
  </si>
  <si>
    <t>14,02,2018</t>
  </si>
  <si>
    <t>№112/0/209-18       від 23.01.2018</t>
  </si>
  <si>
    <t>ТОВ "СІРІУС ГОЛД"</t>
  </si>
  <si>
    <t>79017 Львівська обл., вул.Зелена, буд.44</t>
  </si>
  <si>
    <t>6510700000:04:029:0009</t>
  </si>
  <si>
    <t xml:space="preserve">вул. Французька (П.Комуни), 31 </t>
  </si>
  <si>
    <t>№25340094</t>
  </si>
  <si>
    <t>16,03,2018</t>
  </si>
  <si>
    <t>№249/0/209-17 від 11.10.2017</t>
  </si>
  <si>
    <t>6510700000:04:015:0203</t>
  </si>
  <si>
    <t>вул. Новокаховське шосе, 2</t>
  </si>
  <si>
    <t xml:space="preserve">№25337336 </t>
  </si>
  <si>
    <t>№248/0/209-17 від 11.10.2017</t>
  </si>
  <si>
    <t>ТОВ "Фаворит"</t>
  </si>
  <si>
    <t>вул. М.Букіна, буд.16 кв.46</t>
  </si>
  <si>
    <t>6510700000:01:001:1113</t>
  </si>
  <si>
    <t xml:space="preserve">№25414255 </t>
  </si>
  <si>
    <t>ТОВ "ТВК "Новий світ"</t>
  </si>
  <si>
    <t>м. Н.Каховка вул.Індустріальна, 21</t>
  </si>
  <si>
    <t>6510700000:31:073:0009</t>
  </si>
  <si>
    <t>вул.Індустріальна, 21</t>
  </si>
  <si>
    <t>№7019491</t>
  </si>
  <si>
    <t>№190/0/209-17 від 18.08.2017</t>
  </si>
  <si>
    <t>вул.Французька, 10-а</t>
  </si>
  <si>
    <t>6510700000:03:014:0105</t>
  </si>
  <si>
    <t>ТОВ "АТФ ім.Солодухіна"</t>
  </si>
  <si>
    <t>вул. Першотравнева, буд.34</t>
  </si>
  <si>
    <t>6510700000:01:001:0878</t>
  </si>
  <si>
    <t>вул.Першотравнева, 34</t>
  </si>
  <si>
    <t>№435 від 15.09.2016</t>
  </si>
  <si>
    <t>№25662354 від 06.04.2018</t>
  </si>
  <si>
    <t>№25662354</t>
  </si>
  <si>
    <t>№71/86-17 від 30.01.2017</t>
  </si>
  <si>
    <t>6510700000:01:001:0876</t>
  </si>
  <si>
    <t>вул.Першотравнева, 44</t>
  </si>
  <si>
    <t>№25663426 від 06.04.2018</t>
  </si>
  <si>
    <t>№25663426</t>
  </si>
  <si>
    <t>№70/86-17 від 30.01.2017</t>
  </si>
  <si>
    <t>ТОВ "Комп"ютерні мережі"</t>
  </si>
  <si>
    <t>пр. Перемоги, буд.8 кв.153</t>
  </si>
  <si>
    <t>6510700000:01:001:0442</t>
  </si>
  <si>
    <t>просп.Перемоги, 3-б/2</t>
  </si>
  <si>
    <t>30,03,2017 №769</t>
  </si>
  <si>
    <t xml:space="preserve"> №4990471 від 23.04.2018</t>
  </si>
  <si>
    <t>№4990471</t>
  </si>
  <si>
    <t>№534/0/209-18 від 15.02.2018</t>
  </si>
  <si>
    <t>ФГ з відокремленою садибою "Зоря Каховщини"</t>
  </si>
  <si>
    <t>Каховський район с.Кам"янка</t>
  </si>
  <si>
    <t>6510700000: 11:046:0028</t>
  </si>
  <si>
    <t>вул.Горького, в районі буд.7</t>
  </si>
  <si>
    <t>№26511977 від 04.06.2018</t>
  </si>
  <si>
    <t>№26511977</t>
  </si>
  <si>
    <t>377/0/209-17 від 13.06.2017</t>
  </si>
  <si>
    <t>ТОВ "Абсолют" ЛТД</t>
  </si>
  <si>
    <t>м.Нова Каховка вул. Першотравнева, 33-в</t>
  </si>
  <si>
    <t>6510700000:11:045:0028</t>
  </si>
  <si>
    <t>вул.Горького, 34-б</t>
  </si>
  <si>
    <t>№1284 від 22.03.2018</t>
  </si>
  <si>
    <t>№26546569 від 06,06,2018</t>
  </si>
  <si>
    <t>02,05,2018</t>
  </si>
  <si>
    <t>№26546596</t>
  </si>
  <si>
    <t>06,06,2018</t>
  </si>
  <si>
    <t>№97-21-0.182-777/0/209-18 від 25.04.2018</t>
  </si>
  <si>
    <t>ТОВ "ВЕСТ ОЙЛ ГРУП"</t>
  </si>
  <si>
    <t>м.Луцьк вул. Кременецька, буд.38 43010</t>
  </si>
  <si>
    <t>6510700000:03:014:0037</t>
  </si>
  <si>
    <t>вул.Французька (П.Комуни, 81)</t>
  </si>
  <si>
    <t>№26551479 від 07.06.2018</t>
  </si>
  <si>
    <t>№26551479</t>
  </si>
  <si>
    <t>№97-21-0.182-833/0/209-18 від 17.05.2018</t>
  </si>
  <si>
    <t>ТОВ "Жемчужина"</t>
  </si>
  <si>
    <t>Скадовський район, смт.Лазурне, вул.Набережна, панс. "Чорномор" 75722</t>
  </si>
  <si>
    <t>пр. Дніпровський, 20-а</t>
  </si>
  <si>
    <t>ТОВ "Троя-НК"</t>
  </si>
  <si>
    <t>м.Н.Каховка вул.Промислова, 9-з</t>
  </si>
  <si>
    <t>6510700000:01:001:1305</t>
  </si>
  <si>
    <t>№1388 від 06.06.2018</t>
  </si>
  <si>
    <t>№27165480 від 19.07.2018</t>
  </si>
  <si>
    <t>№27165480</t>
  </si>
  <si>
    <t>19,07,2018</t>
  </si>
  <si>
    <t>№28-21-0.182-1061/0/209-18 від 17.07.2018</t>
  </si>
  <si>
    <t>6510700000:01:001:1307</t>
  </si>
  <si>
    <t>№27165339 від 19.07.2018</t>
  </si>
  <si>
    <t xml:space="preserve">№27165339 </t>
  </si>
  <si>
    <t>№28-21-0.182-1062/0/209-18 від 17.07.2018</t>
  </si>
  <si>
    <t>ТОВ "АТБ-ІНВЕСТ"</t>
  </si>
  <si>
    <t>49000, Дніпропетровська обл, м.Дніпро, вул. Січових Стрільців, буд.21А</t>
  </si>
  <si>
    <t>6510700000:11:045:0031</t>
  </si>
  <si>
    <t>пр.Перемоги, 18-а</t>
  </si>
  <si>
    <t>витяг №28170191 від 27.09.2018</t>
  </si>
  <si>
    <t>03,09,2018</t>
  </si>
  <si>
    <t xml:space="preserve"> №28170191 </t>
  </si>
  <si>
    <t xml:space="preserve"> 27.09.2018</t>
  </si>
  <si>
    <t>№32-21-0.182-1237//0/209-18 від 31.08.2018</t>
  </si>
  <si>
    <t>ТОВ "Санлайт НК"</t>
  </si>
  <si>
    <t>м. Нова Каховка вул. Першотравнева, буд.42-а</t>
  </si>
  <si>
    <t>6510700000:01:001:1166</t>
  </si>
  <si>
    <t>вул. Першотравнева (між заводом будівельних матеріалів та вул.Індустріальна)</t>
  </si>
  <si>
    <t>№968 від 05.10.2017</t>
  </si>
  <si>
    <t>№29416844 від 10.12.2018</t>
  </si>
  <si>
    <t>13,11,2017</t>
  </si>
  <si>
    <t>№29416844</t>
  </si>
  <si>
    <t>№247/0/209-17 від 09.10.2017</t>
  </si>
  <si>
    <t>6510700000:11:046:0040</t>
  </si>
  <si>
    <t>пр.Перемоги, 14</t>
  </si>
  <si>
    <t>витяг №1984702 від 31.07.2013</t>
  </si>
  <si>
    <t>31,07,2013</t>
  </si>
  <si>
    <t>пр.Дніпровський (р-н стадіону "Енергія"</t>
  </si>
  <si>
    <t>16,02,2009</t>
  </si>
  <si>
    <t>6510700000:01:002:0041</t>
  </si>
  <si>
    <t>вул.Першотравнева, 1/10</t>
  </si>
  <si>
    <t>11,11,2013</t>
  </si>
  <si>
    <t>ФОП Акулов Сергій Валентинович</t>
  </si>
  <si>
    <t>пр.Дніпровський, буд.9, кв.7</t>
  </si>
  <si>
    <t>6510700000:01:002:0102</t>
  </si>
  <si>
    <t>6510700000:01:001:0139</t>
  </si>
  <si>
    <t>просп.Дніпровський, в районі будинку №9</t>
  </si>
  <si>
    <t>10,09,2012</t>
  </si>
  <si>
    <t>6510700000:01:001:0790</t>
  </si>
  <si>
    <t>Гр. Александрова Світлана Григорівна</t>
  </si>
  <si>
    <t>м.Н.Каховка пр.Перемоги, буд.26, кв.100</t>
  </si>
  <si>
    <t>6510700000:01:001:1276</t>
  </si>
  <si>
    <t>вул.М.Букіна, буд.2-к</t>
  </si>
  <si>
    <t>№1319 від 26.04.2018</t>
  </si>
  <si>
    <t>№26777373 від 21.06.2018</t>
  </si>
  <si>
    <t>№26777373</t>
  </si>
  <si>
    <t>25,06,2018</t>
  </si>
  <si>
    <t>№97-21-0.182-809/0/209-18 від 10.05.2018</t>
  </si>
  <si>
    <t>вул. Довженко, буд.11, кв.1</t>
  </si>
  <si>
    <t>6510700000:11:053:0011</t>
  </si>
  <si>
    <t>пр.Перемоги, в районі буд.№13</t>
  </si>
  <si>
    <t>№1549 від 25,10,2018</t>
  </si>
  <si>
    <t>№14546573 від 13.05.2016</t>
  </si>
  <si>
    <t>13,05,2016</t>
  </si>
  <si>
    <t>№14546573</t>
  </si>
  <si>
    <t>11,12,2018</t>
  </si>
  <si>
    <t>20,07,2018</t>
  </si>
  <si>
    <t>6510700000:32:075:0012</t>
  </si>
  <si>
    <t>16,09,2016</t>
  </si>
  <si>
    <t>651070000:01:016:0056</t>
  </si>
  <si>
    <t>24,06,2014</t>
  </si>
  <si>
    <t>ФОП Бабаніна Оксана Євгенівна</t>
  </si>
  <si>
    <t>вул. Андріївська, буд.84, кв.1</t>
  </si>
  <si>
    <t>6510700000:01:001:0038</t>
  </si>
  <si>
    <t>вул.Першотравнева</t>
  </si>
  <si>
    <t>№264 від 14.04.2016</t>
  </si>
  <si>
    <t>№18715009 від 20.01.2017</t>
  </si>
  <si>
    <t>№18715009</t>
  </si>
  <si>
    <t>20,01,2017</t>
  </si>
  <si>
    <t>6510700000:01:017:0076</t>
  </si>
  <si>
    <t>вул.Дружби, в районі №23-б</t>
  </si>
  <si>
    <t>№18719627 від 20.01.2017</t>
  </si>
  <si>
    <t>№18719627</t>
  </si>
  <si>
    <t>6510700000:11:046:0017</t>
  </si>
  <si>
    <t>ФОП Бабенко Роман Іванович</t>
  </si>
  <si>
    <t>6510700000:01:001:0747</t>
  </si>
  <si>
    <t>вул.Леніна, в районі буд.№2-д</t>
  </si>
  <si>
    <t>04,03,2016</t>
  </si>
  <si>
    <t>74800, м.Берислав, вул.1 Травня, буд.122 кв.45</t>
  </si>
  <si>
    <t>ФОП Багіров Володимир Маісович</t>
  </si>
  <si>
    <t>6510700000:01:016:0108</t>
  </si>
  <si>
    <t xml:space="preserve"> №7847979 від 26,11,2014</t>
  </si>
  <si>
    <t xml:space="preserve"> №7847979</t>
  </si>
  <si>
    <t>26,11,2014</t>
  </si>
  <si>
    <t>6510700000:01:001:0501</t>
  </si>
  <si>
    <t>вул.Першотравнева, 57</t>
  </si>
  <si>
    <t>№1694 від 07.08.2014</t>
  </si>
  <si>
    <t>№23811312 від 04,12,2017</t>
  </si>
  <si>
    <t>№23811312</t>
  </si>
  <si>
    <t>04,12,2017</t>
  </si>
  <si>
    <t>6510700000:01:017:0006</t>
  </si>
  <si>
    <t>23,03,2015</t>
  </si>
  <si>
    <t>м.Нова Каховка, вул.Кірова, буд.8</t>
  </si>
  <si>
    <t>6510700000:16:030:0116</t>
  </si>
  <si>
    <t>вул.Джерельна, 8</t>
  </si>
  <si>
    <t>17,11,2015</t>
  </si>
  <si>
    <t>пр. Дніпровський, буд.69 кв.5</t>
  </si>
  <si>
    <t>2590514015    1776406490</t>
  </si>
  <si>
    <t>6510700000:03:013:0106</t>
  </si>
  <si>
    <t>пр. Дніпровський, 1-р</t>
  </si>
  <si>
    <t>№1603 від 21.07.2010</t>
  </si>
  <si>
    <t>№25415540 від 21.03.2018</t>
  </si>
  <si>
    <t>№25415540</t>
  </si>
  <si>
    <t>21,03,2018</t>
  </si>
  <si>
    <t>№339/0/209-17 від 15.12.2017</t>
  </si>
  <si>
    <t xml:space="preserve">м.Київ пр.Маяковський, буд. 1-а кв.62 </t>
  </si>
  <si>
    <t>6510700000:03:013:0108</t>
  </si>
  <si>
    <t>№25417041 від 21.03.2018</t>
  </si>
  <si>
    <t>№25417041</t>
  </si>
  <si>
    <t>№340/0/209-17 від 15.12.2017</t>
  </si>
  <si>
    <t>Гр.Бондарь Ірина Олександрівна</t>
  </si>
  <si>
    <t xml:space="preserve">Бериславський р-н, с.Веселе, пров.Леніна, 1 </t>
  </si>
  <si>
    <t>вул.Заводська перехрестя вул.Промислова</t>
  </si>
  <si>
    <t>16,11,2016</t>
  </si>
  <si>
    <t>6510700000:01:001:1281</t>
  </si>
  <si>
    <t xml:space="preserve">вул.Промислова, 7-н </t>
  </si>
  <si>
    <t>ПЗТ №272/08/18 від 22.08.2018</t>
  </si>
  <si>
    <t>№27850061 від 06.09.2018</t>
  </si>
  <si>
    <t xml:space="preserve">№27850061 </t>
  </si>
  <si>
    <t xml:space="preserve"> 06.09.2018</t>
  </si>
  <si>
    <t>№21-0.182-695/0/209-18 від 28.03.2018</t>
  </si>
  <si>
    <t>6510700000:05:010:0008</t>
  </si>
  <si>
    <t>пр.Дніпровський (пристань)</t>
  </si>
  <si>
    <t>19,10,2011</t>
  </si>
  <si>
    <t>6510700000:01:001:0532</t>
  </si>
  <si>
    <t>пр.Дніпровський, 38</t>
  </si>
  <si>
    <t>№6728878</t>
  </si>
  <si>
    <t>6510700000:01:001:0232</t>
  </si>
  <si>
    <t>м.Нова Каховка вул. М.Букіна, буд.44 кв.9</t>
  </si>
  <si>
    <t xml:space="preserve">гр. Брулевич Віталій Володимирович </t>
  </si>
  <si>
    <t>вул.Свєтлова, в районі міської лікарні</t>
  </si>
  <si>
    <t>20,06,2018</t>
  </si>
  <si>
    <t>12,11,2018</t>
  </si>
  <si>
    <t>6510700000:01:001:1306</t>
  </si>
  <si>
    <t>№27427322 від 06,08,2018</t>
  </si>
  <si>
    <t>11,07,2018</t>
  </si>
  <si>
    <t>№27427322</t>
  </si>
  <si>
    <t>06,08,2018</t>
  </si>
  <si>
    <t>№31-21-0.182/0/209-18 від 10.07.2018</t>
  </si>
  <si>
    <t>6510700000:16:033:0438</t>
  </si>
  <si>
    <t>вул.Соснова, 33</t>
  </si>
  <si>
    <t xml:space="preserve"> 03.06.2011 </t>
  </si>
  <si>
    <t>Гр. Бурба Антон Павлович</t>
  </si>
  <si>
    <t>вул.М.Букіна 16/46</t>
  </si>
  <si>
    <t>6510700000:01:001:0787</t>
  </si>
  <si>
    <t>вул.Французька, 33-а</t>
  </si>
  <si>
    <t>№22526402 від 22,09,2017</t>
  </si>
  <si>
    <t>14,08,2017</t>
  </si>
  <si>
    <t>№22526402</t>
  </si>
  <si>
    <t>22,09,2017</t>
  </si>
  <si>
    <t>№34/86-15 від 16.12.2015  496,79</t>
  </si>
  <si>
    <t>Гр. Бухарцев Олександр Сергійович</t>
  </si>
  <si>
    <t>пр. Перемоги, буд.23, кв.47</t>
  </si>
  <si>
    <t>6510700000:29:059:0007</t>
  </si>
  <si>
    <t>вул.Соборна, 73</t>
  </si>
  <si>
    <t>№1373 від 06,06,2018</t>
  </si>
  <si>
    <t>№27077095 від 12.07.2018</t>
  </si>
  <si>
    <t>№27077095</t>
  </si>
  <si>
    <t>12,07,2018</t>
  </si>
  <si>
    <t>№97-21-0.182-974/0/209-18 від 26.06.2018</t>
  </si>
  <si>
    <t>Гр. Василенко Олександр Сергійович</t>
  </si>
  <si>
    <t>вул. Героїв України, 83</t>
  </si>
  <si>
    <t>6510700000:01:001:1171</t>
  </si>
  <si>
    <t>вул. М.Букіна, в районі між будинками №38 та №42</t>
  </si>
  <si>
    <t>аукціон ПЗТ №196/02/18 від 16.02.2018</t>
  </si>
  <si>
    <t>№25640261 від 04.04.2018</t>
  </si>
  <si>
    <t>№25640261</t>
  </si>
  <si>
    <t>№235/0/209-17 від 26.09.2017</t>
  </si>
  <si>
    <t>6510700000:03:014:0110</t>
  </si>
  <si>
    <t>вул.Новокаховське шосе</t>
  </si>
  <si>
    <t>аукціон ПЗТ №11782 від 05.09.2018</t>
  </si>
  <si>
    <t>№28283714 від 03.10.2018</t>
  </si>
  <si>
    <t>№28283714</t>
  </si>
  <si>
    <t xml:space="preserve"> 03.10.2018</t>
  </si>
  <si>
    <t>№18-21-0.182-1024/0/209 від 13.07.2018</t>
  </si>
  <si>
    <t>гр. Василенко Світлана Вікторівна</t>
  </si>
  <si>
    <t>вул. М.Букіна, буд.62а, кв.214</t>
  </si>
  <si>
    <t>6510700000:01:001:1280</t>
  </si>
  <si>
    <t>вул. Промислова, 7-н</t>
  </si>
  <si>
    <t>аукціон ПЗТ 240/06/18 від 20.06.2018</t>
  </si>
  <si>
    <t>№27094251 від 13.07.2018</t>
  </si>
  <si>
    <t>№27094251</t>
  </si>
  <si>
    <t>13,07,2018</t>
  </si>
  <si>
    <t>№97-21-0.182-969/0/209-18 від 28.03.2018</t>
  </si>
  <si>
    <t>6510700000:01:001:0761</t>
  </si>
  <si>
    <t>вул.Соборна, 35-б</t>
  </si>
  <si>
    <t>23,11,2015</t>
  </si>
  <si>
    <t>ФОП Вихристюк В.О.</t>
  </si>
  <si>
    <t xml:space="preserve">м. Н. Каховка вул. Соборна, буд.56 кв.16 </t>
  </si>
  <si>
    <t>вул.Букіна (р-н ПМК-157)</t>
  </si>
  <si>
    <t xml:space="preserve"> №890 від 13.07.2017</t>
  </si>
  <si>
    <t>№7561378  04.11.2014</t>
  </si>
  <si>
    <t xml:space="preserve">№7561378 </t>
  </si>
  <si>
    <t>04,11,2014</t>
  </si>
  <si>
    <t>№242/0/209-17 від 04.10.2017</t>
  </si>
  <si>
    <t>ФОП Величко Валентина Яківна</t>
  </si>
  <si>
    <t>м. Н. Каховка пр. Перемоги, буд.13 кв.103</t>
  </si>
  <si>
    <t>6510700000:01:001:0888</t>
  </si>
  <si>
    <t>вул.Французька, 15-в</t>
  </si>
  <si>
    <t>№1320 від 26.04.2018</t>
  </si>
  <si>
    <t>№18642549 від 16.01.2017</t>
  </si>
  <si>
    <t>№18642549</t>
  </si>
  <si>
    <t>№97-21-0.182-842/0/209-18</t>
  </si>
  <si>
    <t>вул. Першотравнева, буд.33 кв.16</t>
  </si>
  <si>
    <t>6510700000:01:002:0035</t>
  </si>
  <si>
    <t>вул.Першотравнева, 1/5 (приринкова територія)</t>
  </si>
  <si>
    <t>№4532244  28.01.2014</t>
  </si>
  <si>
    <t xml:space="preserve"> №4532244</t>
  </si>
  <si>
    <t xml:space="preserve"> 28.01.2014</t>
  </si>
  <si>
    <t>№114/0/209-18 від 23.01.2018</t>
  </si>
  <si>
    <t>74988, м.Таврійськ вул.Червонопрапорна, 52</t>
  </si>
  <si>
    <t>6510700000:01:001:1376</t>
  </si>
  <si>
    <t>вул. Новокаховське шосе, 6</t>
  </si>
  <si>
    <t>651070000:01:001:0663</t>
  </si>
  <si>
    <t>просп.Перемоги, в районі будинку №34</t>
  </si>
  <si>
    <t>гр. Гаєвий Ярослав Дмитрович</t>
  </si>
  <si>
    <t>вул. Новоселівська, буд.17, кв.68</t>
  </si>
  <si>
    <t>651070000:01:001:1271</t>
  </si>
  <si>
    <t>вул. Миколи Букіна, в районі буд.№62-а</t>
  </si>
  <si>
    <t>ПЗТ №11929 від 26.06.2018</t>
  </si>
  <si>
    <t>№27489457 від 10.08.2018</t>
  </si>
  <si>
    <t>26,06,2018</t>
  </si>
  <si>
    <t>№27489457</t>
  </si>
  <si>
    <t>10,08,2018</t>
  </si>
  <si>
    <t>№97-21-0.182-982/0/209-18 від 26.03.2018</t>
  </si>
  <si>
    <t>гр. Гайдамачук Іван Ігорович</t>
  </si>
  <si>
    <t>м. Нова Каховка просп. Перемоги, буд.8 кв.56</t>
  </si>
  <si>
    <t>651070000:01:001:1242</t>
  </si>
  <si>
    <t>вул. Електромашинобудівників, в районі КП "Міський водоканал"</t>
  </si>
  <si>
    <t>ПЗТ №218/05/18 від 15.05.2018</t>
  </si>
  <si>
    <t>№27062901 від 12.07.2018</t>
  </si>
  <si>
    <t>№27062901</t>
  </si>
  <si>
    <t>№316/0/209-18 від 06.02.2018</t>
  </si>
  <si>
    <t>ФОП Гармаш Анжеліка Вікторівна</t>
  </si>
  <si>
    <t>вул.М.Букіна 44/47</t>
  </si>
  <si>
    <t>6510700000:01:002:0037</t>
  </si>
  <si>
    <t>вул. Першотравнева, 1/15</t>
  </si>
  <si>
    <t>№4750605 від 21.02.2014</t>
  </si>
  <si>
    <t>№4750605</t>
  </si>
  <si>
    <t>р.с.№829 від 25.05.2017 / 22.12.2017</t>
  </si>
  <si>
    <t>№105/0/209-17 від 22.06.2017</t>
  </si>
  <si>
    <t>Гарбар Анатолій Петрович</t>
  </si>
  <si>
    <t>пр. Перемоги, буд.6, кв.86</t>
  </si>
  <si>
    <t>6510700000:01:017:0068</t>
  </si>
  <si>
    <t>вул.Першотравнева,16-а</t>
  </si>
  <si>
    <t>№1848 від 16.12.2014</t>
  </si>
  <si>
    <t>№22359599 від 12.09.2017</t>
  </si>
  <si>
    <t>№22359599</t>
  </si>
  <si>
    <t>№129/0/209-17 від 06.07.2017</t>
  </si>
  <si>
    <t>вул.М.Букіна 44-а/21</t>
  </si>
  <si>
    <t>6510700000:29:059:0012</t>
  </si>
  <si>
    <t>вул. Горького,54</t>
  </si>
  <si>
    <t>№ 6052465 від 18.06.2014</t>
  </si>
  <si>
    <t xml:space="preserve">№6052465 </t>
  </si>
  <si>
    <t>№228/0/209-18 від 30.01.2018</t>
  </si>
  <si>
    <t>6510700000:01:001:0258</t>
  </si>
  <si>
    <t>вул.Садова, 4</t>
  </si>
  <si>
    <t>гр. Грабар Оксана Леонідівна</t>
  </si>
  <si>
    <t>вул. Дружби, буд.9, кв.12</t>
  </si>
  <si>
    <t>6510700000:01:001:1293</t>
  </si>
  <si>
    <t>вул. Французькій, в районі автовокзалу</t>
  </si>
  <si>
    <t>ПЗТ №273/08/18 від 22.08.2018</t>
  </si>
  <si>
    <t>№28146284 від 24.09.2018</t>
  </si>
  <si>
    <t>22,08,2018</t>
  </si>
  <si>
    <t xml:space="preserve">№28146284 </t>
  </si>
  <si>
    <t xml:space="preserve"> 24.09.2018</t>
  </si>
  <si>
    <t>№97-21-0.182-774/0/209-18 від 23.04.2018</t>
  </si>
  <si>
    <t>вул. Першотравнева, буд.13, кв.5</t>
  </si>
  <si>
    <t>6510700000:01:016:0093</t>
  </si>
  <si>
    <t>№ 7162699 від 29,09,2014</t>
  </si>
  <si>
    <t>№ 7162699</t>
  </si>
  <si>
    <t>29,09,2014</t>
  </si>
  <si>
    <t>22,11,2018 Р,С, №985 від 05.10.2017</t>
  </si>
  <si>
    <t>Гр. Гугля Світлана Анатоліївна</t>
  </si>
  <si>
    <t>м.Н.Каховка вул. Французька, буд.1, кв.34</t>
  </si>
  <si>
    <t>6510700000:01:002:0043</t>
  </si>
  <si>
    <t>вул. Першотравнева, 1/12 (приринкова площа)</t>
  </si>
  <si>
    <t>№25947972 від 27.04.2018</t>
  </si>
  <si>
    <t>№25947972</t>
  </si>
  <si>
    <t>№61/0/209-18 від 19.01.2018</t>
  </si>
  <si>
    <t>6510700000:01:002:0101</t>
  </si>
  <si>
    <t>19,09,2013</t>
  </si>
  <si>
    <t>6510700000:01:001:0765</t>
  </si>
  <si>
    <t>перехрестя вул.Заводська - П.Комуни</t>
  </si>
  <si>
    <t xml:space="preserve"> 16.08.2016</t>
  </si>
  <si>
    <t>гр.Дем"яненко Ярослав Ігорьович</t>
  </si>
  <si>
    <t>вул.Горького, буд.30 кв.74</t>
  </si>
  <si>
    <t>6510700000:01:001:1296</t>
  </si>
  <si>
    <t>вул.Горького, в районі колишнього заводу</t>
  </si>
  <si>
    <t>ПЗТ №300/09/18 від 28.09.2018</t>
  </si>
  <si>
    <t>№28444419 від 16.10.2018</t>
  </si>
  <si>
    <t xml:space="preserve">№28444419 </t>
  </si>
  <si>
    <t>16,10,2018</t>
  </si>
  <si>
    <t>№97-21-0.182-773/0/209-18 від 23.04.2018</t>
  </si>
  <si>
    <t xml:space="preserve">вул. Джерельна, буд.99    </t>
  </si>
  <si>
    <t>гр. Дигало Олена Дмитрівна</t>
  </si>
  <si>
    <t>вул.Довженко, буд.15, кв.93</t>
  </si>
  <si>
    <t>651070000:11:053:0047</t>
  </si>
  <si>
    <t>пр. Перемоги, в районі буд.№25</t>
  </si>
  <si>
    <t>ПЗТ №227/05/2018 від 25.05.2018</t>
  </si>
  <si>
    <t>№26661874 від 13.06.2018</t>
  </si>
  <si>
    <t>№26661874</t>
  </si>
  <si>
    <t>№312/0/209-17 від 29.11.2017</t>
  </si>
  <si>
    <t>6510700000:01:001:0633</t>
  </si>
  <si>
    <t xml:space="preserve">вул.Джерельна, 3 </t>
  </si>
  <si>
    <t>29,04,2015</t>
  </si>
  <si>
    <t>гр.Єрмолаєв Олег Петрович (учасник АТО)</t>
  </si>
  <si>
    <t>с.Корсунка вул.Солодухіна, буд.31</t>
  </si>
  <si>
    <t>6510700000:01:001:0957</t>
  </si>
  <si>
    <t>просп.Героїв, 21</t>
  </si>
  <si>
    <t>№1037 від 23.11.2017</t>
  </si>
  <si>
    <t>№27290027 від 27.07.2018</t>
  </si>
  <si>
    <t>15,07,2018</t>
  </si>
  <si>
    <t>№27290027</t>
  </si>
  <si>
    <t>27,07,2018</t>
  </si>
  <si>
    <t>№31-21-0.182-1026/0/209-18 від 13.07.2018</t>
  </si>
  <si>
    <t>ФОП Жарков Едуард Юрійович</t>
  </si>
  <si>
    <t>вул. Історична, буд.56, кв.4</t>
  </si>
  <si>
    <t>вул.Горького, (біля водозабірної споруди КП "Міський водоканал")</t>
  </si>
  <si>
    <t>№553 від 10.11.2016</t>
  </si>
  <si>
    <t>6510700000:11:045:0042</t>
  </si>
  <si>
    <t>03,06,2016</t>
  </si>
  <si>
    <t>ФОП Задоя Андрій Миколайович</t>
  </si>
  <si>
    <t>м.Н.Каховка пр. Дніпровський, буд.261, кв.2</t>
  </si>
  <si>
    <t>651070000:01:002:0090</t>
  </si>
  <si>
    <t>вул. Першотравнева (приринкова площа)</t>
  </si>
  <si>
    <t>№26322055 від 30.03.2016</t>
  </si>
  <si>
    <t>17,05,2018</t>
  </si>
  <si>
    <t xml:space="preserve">№26322055 </t>
  </si>
  <si>
    <t>30,03,2016</t>
  </si>
  <si>
    <t>№97-21-0.182-831/0/209-18 від 15.05.2018</t>
  </si>
  <si>
    <t>6510700000:01:001:0217</t>
  </si>
  <si>
    <t>06,11,2012</t>
  </si>
  <si>
    <t>ФОП Іванов В"ячеслав Вікторович</t>
  </si>
  <si>
    <t>с. Райське  вул. Донецька, буд.5</t>
  </si>
  <si>
    <t>6510700000:02:011:0039</t>
  </si>
  <si>
    <t>6510700000:02:011:0007</t>
  </si>
  <si>
    <t>пр. Дніпровський, (паркова зона, в районі літнього кінотеатру)</t>
  </si>
  <si>
    <t>№931195 від 14,05,2013</t>
  </si>
  <si>
    <t>№931195</t>
  </si>
  <si>
    <t>14,05,2013</t>
  </si>
  <si>
    <t>25,05,2018</t>
  </si>
  <si>
    <t>№97-21-0.182-832/0/209-18 від 17.05.2018</t>
  </si>
  <si>
    <t>6510700000:01:001:0838</t>
  </si>
  <si>
    <t>просп.Дніпровський, 28-з</t>
  </si>
  <si>
    <t>№ 21522357 від 19,07,2017</t>
  </si>
  <si>
    <t xml:space="preserve">№ 21522357 </t>
  </si>
  <si>
    <t>19,07,2017</t>
  </si>
  <si>
    <t>вул.Довженка, буд.33, кв.52</t>
  </si>
  <si>
    <t>6510700000:01:001:0837</t>
  </si>
  <si>
    <t>просп.Дніпровський, 28-к</t>
  </si>
  <si>
    <t>№21522782 від 19,07,2017</t>
  </si>
  <si>
    <t>№21522782</t>
  </si>
  <si>
    <t>6510700000:07:020:0174</t>
  </si>
  <si>
    <t>вул.Маяковського, 16</t>
  </si>
  <si>
    <t>17,05,2007</t>
  </si>
  <si>
    <t>6510700000:01:001:0856</t>
  </si>
  <si>
    <t>№1508 від 24.02.2014 року</t>
  </si>
  <si>
    <t xml:space="preserve">6510700000:01:001:0323 </t>
  </si>
  <si>
    <t>просп.Перемоги, 14-а</t>
  </si>
  <si>
    <t>пр. Перемоги, буд.6 кв.73</t>
  </si>
  <si>
    <t>6510700000:11:046:0050</t>
  </si>
  <si>
    <t>вул.Першотравнева,28-а</t>
  </si>
  <si>
    <t>№985 від 13.07.2017</t>
  </si>
  <si>
    <t>№229/0/209-18 від 30.01.2018</t>
  </si>
  <si>
    <t>6510700000:11:053:0032</t>
  </si>
  <si>
    <t>651070000:12:054:0045</t>
  </si>
  <si>
    <t>вул.Дружби, 22</t>
  </si>
  <si>
    <t>6510700000:01:001:1172</t>
  </si>
  <si>
    <t>вул.Горького, в районі аптеки по вул. Свєтлова, 1а</t>
  </si>
  <si>
    <t xml:space="preserve">аукціон                П.К. №201/03/108 від 13.03.2018 </t>
  </si>
  <si>
    <t>№25623798 від 03.04.2018</t>
  </si>
  <si>
    <t xml:space="preserve">№25623798 </t>
  </si>
  <si>
    <t xml:space="preserve">ФОП Качкаров Сергій Вікторович </t>
  </si>
  <si>
    <t>вул.Історична, б.50, кв.8</t>
  </si>
  <si>
    <t>вул.Першотравнева, в районі буд.16</t>
  </si>
  <si>
    <t>№37583420 від 09.12.2013</t>
  </si>
  <si>
    <t>09,12,2013</t>
  </si>
  <si>
    <t xml:space="preserve">№3758342 </t>
  </si>
  <si>
    <t>26,10,2018</t>
  </si>
  <si>
    <t>№97-21-0.182-888/0/209-18 від 31.05.2018</t>
  </si>
  <si>
    <t>гр. Качмарик Тамара Анатоліївна</t>
  </si>
  <si>
    <t>пр. Перемоги, буд.16, кв.60</t>
  </si>
  <si>
    <t>651070000:01:002:0098</t>
  </si>
  <si>
    <t>вул. Героїв України, (біля центрального ринку)</t>
  </si>
  <si>
    <t>ПЗТ №303/10/18 від  24.10.2018</t>
  </si>
  <si>
    <t>№28750654 від 01.11.2018</t>
  </si>
  <si>
    <t>№28750654</t>
  </si>
  <si>
    <t>№97-21.0.182-935/0/209-18 від 14.06.2018</t>
  </si>
  <si>
    <t>651070000:01:002:0099</t>
  </si>
  <si>
    <t>ПЗТ №305/10/18 від  24.10.2018</t>
  </si>
  <si>
    <t>№28750921 від 01.11.2018</t>
  </si>
  <si>
    <t xml:space="preserve">№28750921 </t>
  </si>
  <si>
    <t>№97-21.0.182-934/0/209-18 від 14.06.2018</t>
  </si>
  <si>
    <t>651070000:01:002:0100</t>
  </si>
  <si>
    <t>ПЗТ №304/10/18 від  24.10.2018</t>
  </si>
  <si>
    <t>№2875146421 від 01.11.2018</t>
  </si>
  <si>
    <t>№2875146421</t>
  </si>
  <si>
    <t>№97-21.0.182-936/0/209-18 від 14.06.2018</t>
  </si>
  <si>
    <t>Кібалко Олексій Олексійович</t>
  </si>
  <si>
    <t>смт. Новотроїцьке, вул.Космонавтів, 31</t>
  </si>
  <si>
    <t>6510700000:29:057:0004</t>
  </si>
  <si>
    <t>вул.Горького</t>
  </si>
  <si>
    <t>ПЗТ 12.07.2017</t>
  </si>
  <si>
    <t>№21856767 від 09.08.2017</t>
  </si>
  <si>
    <t>№21856767</t>
  </si>
  <si>
    <t xml:space="preserve"> 09.08.2017</t>
  </si>
  <si>
    <t>№189/86-17 від 14.03.2017</t>
  </si>
  <si>
    <t>6510700000:01:001:1107</t>
  </si>
  <si>
    <t>вул. Піонерська-вул. Гагаріна</t>
  </si>
  <si>
    <t>№24736489 05.02.2018</t>
  </si>
  <si>
    <t>25,01,2018</t>
  </si>
  <si>
    <t>№24736489</t>
  </si>
  <si>
    <t>05,02,2018</t>
  </si>
  <si>
    <t>6510700000:11:046:0046</t>
  </si>
  <si>
    <t>вул.Довженка, в районі дитячого садочка "Золота рибка"</t>
  </si>
  <si>
    <t>витяг №3106189 від 16.10.2013</t>
  </si>
  <si>
    <t>№3106189</t>
  </si>
  <si>
    <t>16,10,2013</t>
  </si>
  <si>
    <t>вул. Пушкіна, буд.5, кв.1</t>
  </si>
  <si>
    <t>6510700000:01:001:0049</t>
  </si>
  <si>
    <t>вул.Першотравнева, 49-а</t>
  </si>
  <si>
    <t>№310 від 09.06.2011</t>
  </si>
  <si>
    <t>№22518061 від 21.09.2017</t>
  </si>
  <si>
    <t>№22518061</t>
  </si>
  <si>
    <t>21,09,2017</t>
  </si>
  <si>
    <t>№1250/86-16 від 07.12.2016 / 94,92</t>
  </si>
  <si>
    <t>м. Н.Каховка вул. Пушкіна, буд.5 кв.1</t>
  </si>
  <si>
    <t>6510700000:01:001:0904</t>
  </si>
  <si>
    <t>вул.Горького - просп. Перемоги</t>
  </si>
  <si>
    <t>№24779344 від 07.02.2018</t>
  </si>
  <si>
    <t>№24779344</t>
  </si>
  <si>
    <t>07,02,2018</t>
  </si>
  <si>
    <t>пр. Перемоги, буд.6, кв.106</t>
  </si>
  <si>
    <t>6510700000:11:053:0030</t>
  </si>
  <si>
    <t>витяг №4402198 від 25.01.2014</t>
  </si>
  <si>
    <t>6510700000:01:001:1202</t>
  </si>
  <si>
    <t>вул. Свєтлова, в р-ні буд. 7</t>
  </si>
  <si>
    <t xml:space="preserve">аукціон П.К. №198/02/18 від 16.02.2018 </t>
  </si>
  <si>
    <t>№25002108 від 22.02.2018</t>
  </si>
  <si>
    <t>№25002108</t>
  </si>
  <si>
    <t>22,02,2018</t>
  </si>
  <si>
    <t>№289/0/209-17 від 07.11.2017</t>
  </si>
  <si>
    <t>6510700000:01:001:0907</t>
  </si>
  <si>
    <t>вул.Горького, в районі колишнього заводу "Сокіл"</t>
  </si>
  <si>
    <t>вул.Миру, буд.20, кв.1;    вул.Паркова, буд.5, кв.5</t>
  </si>
  <si>
    <t>6510700000:17:032:0018</t>
  </si>
  <si>
    <t>вул.Запорожців, в районі житлового будинку №134</t>
  </si>
  <si>
    <t>витяг №7151199 від 29.09.2014</t>
  </si>
  <si>
    <t>№7151199</t>
  </si>
  <si>
    <t xml:space="preserve"> 29.09.2014</t>
  </si>
  <si>
    <t>р.с №985 від 05.10.2017 / 14,11,2017</t>
  </si>
  <si>
    <t>№263/0/209-17 від 19.10.2017</t>
  </si>
  <si>
    <t>6510700000:01:001:0788</t>
  </si>
  <si>
    <t>вул.Промислова, в районі будівлі №9-т</t>
  </si>
  <si>
    <t>6510700000:01:001:0591</t>
  </si>
  <si>
    <t>вул.Історична, в районі будинку №17</t>
  </si>
  <si>
    <t>ФОП Косенко Олександр Михайлович</t>
  </si>
  <si>
    <t>вул.Довженка, буд.21, кв.32</t>
  </si>
  <si>
    <t>6510700000:25:069:0008</t>
  </si>
  <si>
    <t xml:space="preserve">вул.Індустріальна, 21 </t>
  </si>
  <si>
    <t>№22387125 від 13.09.2017</t>
  </si>
  <si>
    <t>№22387125</t>
  </si>
  <si>
    <t xml:space="preserve"> 13.09.2017</t>
  </si>
  <si>
    <t>№186/0/209-17 від 11.08.2017</t>
  </si>
  <si>
    <t>м. Мелітополь пров.Елеваторний, 18</t>
  </si>
  <si>
    <t>6510700000:03:014:0002</t>
  </si>
  <si>
    <t>вул. Промислова, 7-х</t>
  </si>
  <si>
    <t>23.12.2017 №1156</t>
  </si>
  <si>
    <t>№24865605 13.02.2018</t>
  </si>
  <si>
    <t xml:space="preserve">№24865605 </t>
  </si>
  <si>
    <t>13,02,2018</t>
  </si>
  <si>
    <t>№56/0/209-18 від 19.01.2018</t>
  </si>
  <si>
    <t>6510700000:01:003:0068</t>
  </si>
  <si>
    <t>вул.Ентузіастів, 1-а</t>
  </si>
  <si>
    <t>6510700000:07:019:0003</t>
  </si>
  <si>
    <t>вул.Дружби, в районі буд.45</t>
  </si>
  <si>
    <t>витяг №1636657 від 01.07.2013</t>
  </si>
  <si>
    <t>01,07,2013</t>
  </si>
  <si>
    <t>№374 від 21.07.2016</t>
  </si>
  <si>
    <t>м.Таврійськ вул.І.Франка, 5/43</t>
  </si>
  <si>
    <t xml:space="preserve">вул.Промислова, </t>
  </si>
  <si>
    <t>вул.Промислова, в районі АТП-2163</t>
  </si>
  <si>
    <t>гр. Колесник Дмитро Сергійович</t>
  </si>
  <si>
    <t>6510700000:03:014:0101</t>
  </si>
  <si>
    <t>аукціон П.З.Т. 25.01.2018</t>
  </si>
  <si>
    <t xml:space="preserve">№24676108 </t>
  </si>
  <si>
    <t>31,01,2018</t>
  </si>
  <si>
    <t>№209/0/209-17 від 05.09.2017</t>
  </si>
  <si>
    <t>вул. Соборна, буд.61, кв.88</t>
  </si>
  <si>
    <t>6510700000:29:059:0022</t>
  </si>
  <si>
    <t>вул.Ріхарда Зорге, в районі АЗС</t>
  </si>
  <si>
    <t>ПЗТ №166/11/17 від 08.11.2017</t>
  </si>
  <si>
    <t>№235488142 від 21.11.2017</t>
  </si>
  <si>
    <t>№235488142</t>
  </si>
  <si>
    <t>21,11,2017</t>
  </si>
  <si>
    <t>№58/0/209-17 від 23.05.2017</t>
  </si>
  <si>
    <t xml:space="preserve">гр. Крименчук Олександр Сергійович </t>
  </si>
  <si>
    <t>вул. Героїв України (К.Маркса), буд.1</t>
  </si>
  <si>
    <t>6510700000:01:001:0784</t>
  </si>
  <si>
    <t>вул. Історична, 3-г</t>
  </si>
  <si>
    <t>№1543 від 25.10.2018</t>
  </si>
  <si>
    <t>№29093578 від 21.11.2018</t>
  </si>
  <si>
    <t>08,11,2018</t>
  </si>
  <si>
    <t>№29093578</t>
  </si>
  <si>
    <t>21,11,2018</t>
  </si>
  <si>
    <t>№31-21-0.182-1582/0/209-18 від 08.11.2018</t>
  </si>
  <si>
    <t xml:space="preserve">ФОП Крупнова Інна Володимирівна </t>
  </si>
  <si>
    <t>вул. Новоселівська, буд.13, кв.23</t>
  </si>
  <si>
    <t>651070000:11:045:0021</t>
  </si>
  <si>
    <t>вул. Довженка,11-б</t>
  </si>
  <si>
    <t>№6401764</t>
  </si>
  <si>
    <t xml:space="preserve"> 21.07.2014</t>
  </si>
  <si>
    <t xml:space="preserve">р.с. №829 від 25.05.2017 </t>
  </si>
  <si>
    <t>№112/0/209-17 від 29.06.2017</t>
  </si>
  <si>
    <t>гр. Кудря Сергій Анатолійович</t>
  </si>
  <si>
    <t>6510700000:01:001:1402</t>
  </si>
  <si>
    <t>№ 29899112</t>
  </si>
  <si>
    <t>№ 18-21-0.182-1412/0/209-18</t>
  </si>
  <si>
    <t>ФОП Кузьмін Андрій Вікторович та Колесник Тетяна Петрівна</t>
  </si>
  <si>
    <t>вул. Маяковського, буд.3, кв.6; Дніпропетровська обл., м.Кривий Ріг, вул.Ньютона, буд.44, кв.49</t>
  </si>
  <si>
    <t>6510700000:03:014:0106</t>
  </si>
  <si>
    <t>вул.Французька, 10-ж</t>
  </si>
  <si>
    <t>№769 від 30.03.2017</t>
  </si>
  <si>
    <t>№21334322 від 07.07.2017</t>
  </si>
  <si>
    <t>06,06,2017</t>
  </si>
  <si>
    <t>№21334322</t>
  </si>
  <si>
    <t>№53/0/209-17 від 15.05.2017</t>
  </si>
  <si>
    <t>пр. Перемоги, буд.31, кв.16 та вул. Французька, буд.7, кв.8</t>
  </si>
  <si>
    <t>6510700000:01:001:0656</t>
  </si>
  <si>
    <t>просп.Перемоги, 18/11</t>
  </si>
  <si>
    <t>№29191410 від 27.11.2018</t>
  </si>
  <si>
    <t xml:space="preserve">№29191410 </t>
  </si>
  <si>
    <t>№31-21-0.182-1577/0/209-18 від 08.11.2018</t>
  </si>
  <si>
    <t>Гр. Кулик Вячеслав Володимирович</t>
  </si>
  <si>
    <t>м.Н.Каховка пр.Перемоги, буд.28, кв.65</t>
  </si>
  <si>
    <t>6510700000:01:001:1188</t>
  </si>
  <si>
    <t xml:space="preserve">вул.Горького, в районі магазину ФОП Гаталай В.П. </t>
  </si>
  <si>
    <t>ПЗТ №237/06/18 від 20.06.2018</t>
  </si>
  <si>
    <t>№27229260 від 23.07.2018</t>
  </si>
  <si>
    <t>№27229260</t>
  </si>
  <si>
    <t>№252/0/209-17 від 12.10.2017</t>
  </si>
  <si>
    <t>ФОП Куриленко Ігор Вікторович</t>
  </si>
  <si>
    <t>вул. М.Букіна, буд.14, кв.94</t>
  </si>
  <si>
    <t>6510700000:01:001:0497</t>
  </si>
  <si>
    <t>просп.Перемоги, 18-б</t>
  </si>
  <si>
    <t>№8607587</t>
  </si>
  <si>
    <t>№287/0/209-17 від 03.11.2017</t>
  </si>
  <si>
    <t>6510700000:03:014:0076</t>
  </si>
  <si>
    <t>вул.Затишна 14-а,14-б</t>
  </si>
  <si>
    <t>гр. Лазарев Едуард Онікович</t>
  </si>
  <si>
    <t>вул. М.Букіна, буд.68, кв.8</t>
  </si>
  <si>
    <t>6510700000:01:001:1162</t>
  </si>
  <si>
    <t>вул. Французька, за ділянкою ТОВ "Вест Ойл Груп"</t>
  </si>
  <si>
    <t>ПЗТ №209/04/18 від 03.04.2018</t>
  </si>
  <si>
    <t>№27228692</t>
  </si>
  <si>
    <t>24,07,2018</t>
  </si>
  <si>
    <t>№229/0/209-17 від 14.09.2017</t>
  </si>
  <si>
    <t>вул.Миру, 2-г</t>
  </si>
  <si>
    <t>040473200001; 21.01.04</t>
  </si>
  <si>
    <t>6510700000:25:069:0005</t>
  </si>
  <si>
    <t>вул.Індустріальна, 37</t>
  </si>
  <si>
    <t>вул. Піонерська, буд.20 кв.26</t>
  </si>
  <si>
    <t>6510700000:01:001:1255</t>
  </si>
  <si>
    <t>вул. Затишна, 13-б</t>
  </si>
  <si>
    <t>№1272 від 22.03.2018</t>
  </si>
  <si>
    <t>№25857066 від 19.04.2018</t>
  </si>
  <si>
    <t xml:space="preserve">№25857066 </t>
  </si>
  <si>
    <t>№97-21-0.182-743/0/209-18 від 10.04.2018</t>
  </si>
  <si>
    <t>вул.Миру, 2-д</t>
  </si>
  <si>
    <t>040473200003; 21.01.04</t>
  </si>
  <si>
    <t>21,01,2004</t>
  </si>
  <si>
    <t>вул. Першотравнева, буд.23 кв.21</t>
  </si>
  <si>
    <t>6510700000:01:001:1169</t>
  </si>
  <si>
    <t>вул. Історична, в районі будівлі квіткового магазину</t>
  </si>
  <si>
    <t>аукціон П.Т. від 27.12.2017</t>
  </si>
  <si>
    <t>27,12,2017</t>
  </si>
  <si>
    <t>№24643645</t>
  </si>
  <si>
    <t>30,01,2018</t>
  </si>
  <si>
    <t>пр.Перемоги,14-є</t>
  </si>
  <si>
    <t>6510700000:01:002:0045</t>
  </si>
  <si>
    <t>041073200013 від 11.02.2010</t>
  </si>
  <si>
    <t>6510700000:11:053:0038</t>
  </si>
  <si>
    <t>07,12,2015</t>
  </si>
  <si>
    <t>6510700000:01:001:0239</t>
  </si>
  <si>
    <t>вул. Першотравнева, буд.10, кв.15</t>
  </si>
  <si>
    <t>6510700000:01:001:0036</t>
  </si>
  <si>
    <t>перехрестя вул.Першотравнева - просп.Дніпровський</t>
  </si>
  <si>
    <t xml:space="preserve"> №11817591 від 29.10.2015</t>
  </si>
  <si>
    <t>23,10,2015</t>
  </si>
  <si>
    <t>№11817591</t>
  </si>
  <si>
    <t xml:space="preserve">Гр. Михайлюков Вадим Володимирович </t>
  </si>
  <si>
    <t>вул.Історична, буд.37, кв.2</t>
  </si>
  <si>
    <t>6510700000:01:001:0058</t>
  </si>
  <si>
    <t>№1449 від 07.08.2018</t>
  </si>
  <si>
    <t>№27859097 від 06.09.2018</t>
  </si>
  <si>
    <t>№27859097</t>
  </si>
  <si>
    <t>№31-21-0.182-1208/0/209-18</t>
  </si>
  <si>
    <t>6510700000:01:001:0172</t>
  </si>
  <si>
    <t>вул.Історична, 37-в</t>
  </si>
  <si>
    <t>6510700000:01:001:0173</t>
  </si>
  <si>
    <t>вул.Історична, 37-б</t>
  </si>
  <si>
    <t xml:space="preserve">Гр. Міронова Валентина Михалівна </t>
  </si>
  <si>
    <t>м.Херсон вул.Робоча, буд.17 кв.2</t>
  </si>
  <si>
    <t>6510700000:01:001:1279</t>
  </si>
  <si>
    <t>ПЗТ №239/06/18 від 20.06.2018</t>
  </si>
  <si>
    <t>№21-0.182-697/0/209-18 від 28.03.2018</t>
  </si>
  <si>
    <t>№27044654 від 11.07.2018</t>
  </si>
  <si>
    <t>вул.Гідробудівників, буд.39/2               м.Таврійськ вул.Пархоменка, буд.62</t>
  </si>
  <si>
    <t>1316215832; 2171122798</t>
  </si>
  <si>
    <t>6510700000:13:061:0017</t>
  </si>
  <si>
    <t>вул.Першотравнева, 37-ж</t>
  </si>
  <si>
    <t>№8617033</t>
  </si>
  <si>
    <t>вул. Дружби (Дзержинського), буд.5, кв.17</t>
  </si>
  <si>
    <t>6510700000:02:011:0031</t>
  </si>
  <si>
    <t>пр. Дніпровський, 26-а</t>
  </si>
  <si>
    <t>№1564 від 25.10.2018</t>
  </si>
  <si>
    <t>№29242251 від 29.11.2018</t>
  </si>
  <si>
    <t>№29242251</t>
  </si>
  <si>
    <t xml:space="preserve"> 29.11.2018</t>
  </si>
  <si>
    <t>№31-21-0.182-1592/0/209-18 від 12,11,2018</t>
  </si>
  <si>
    <t xml:space="preserve">Гр. Нагорний Юрій Іванович </t>
  </si>
  <si>
    <t xml:space="preserve">м.Н.Каховка вул.Горького, буд.7 кв.45 </t>
  </si>
  <si>
    <t>6510700000:01:001:1168</t>
  </si>
  <si>
    <t>вул.Довженко, в районі буд.№47</t>
  </si>
  <si>
    <t>ПЗТ №10688 від 26.03.2018</t>
  </si>
  <si>
    <t>№26390358 від 29.05.2018</t>
  </si>
  <si>
    <t>№24374419</t>
  </si>
  <si>
    <t xml:space="preserve">№232/0/209-17 від </t>
  </si>
  <si>
    <t>гр. Нарсія Катерина Борисівна</t>
  </si>
  <si>
    <t>651070000:01:001:1148</t>
  </si>
  <si>
    <t>вул.Горького, в районі буд.№38 та №42</t>
  </si>
  <si>
    <t>ПЗТ №168/11/17 від 08.11.2017</t>
  </si>
  <si>
    <t>№23457864 від 15.11.2017</t>
  </si>
  <si>
    <t>№23457864</t>
  </si>
  <si>
    <t>гр. Новаковська Юлія Миколаївна</t>
  </si>
  <si>
    <t>м.Н.Каховка пр.Перемоги, буд.3, кв.32-33</t>
  </si>
  <si>
    <t>6510700000:01:001:1232</t>
  </si>
  <si>
    <t>вул.Свєтлова,  в районі буд.№7</t>
  </si>
  <si>
    <t>№27274042 від 26,07,2018</t>
  </si>
  <si>
    <t>№27274042</t>
  </si>
  <si>
    <t>26,07,2018</t>
  </si>
  <si>
    <t>№97-21-0.182-610/0/209-18</t>
  </si>
  <si>
    <t>ФОП Павловець Олена Анатоліївна</t>
  </si>
  <si>
    <t xml:space="preserve">вул.Соборна, буд.55, кв.31 </t>
  </si>
  <si>
    <t>6510700000:01:001:0167</t>
  </si>
  <si>
    <t>вул.Соборна, 59-а</t>
  </si>
  <si>
    <t>№1373 від 06.06.2018</t>
  </si>
  <si>
    <t>№27076306 від 12,07,2018</t>
  </si>
  <si>
    <t>02,07,2018</t>
  </si>
  <si>
    <t>№27076306</t>
  </si>
  <si>
    <t>97-21-0.182-976/0/209-18 від 26.06.2018</t>
  </si>
  <si>
    <t>651070000:01:001:0652</t>
  </si>
  <si>
    <t>вул.М.Букіна, в районі будинку №60</t>
  </si>
  <si>
    <t>вул.Р.Зорге, буд.4 кв.49</t>
  </si>
  <si>
    <t>651070000:01:001:1210</t>
  </si>
  <si>
    <t>вул.Першотравнева (в райні будинку №16)</t>
  </si>
  <si>
    <t>аукціон П.К. №208/04/18 від 03.04.2018</t>
  </si>
  <si>
    <t>№25722844 від 12.04.2018</t>
  </si>
  <si>
    <t>№25722844</t>
  </si>
  <si>
    <t>№308/0/209-17</t>
  </si>
  <si>
    <t>ФОП Пащенко Тетяна Станіславівна</t>
  </si>
  <si>
    <t>пр. Перемоги, буд.6, кв.98</t>
  </si>
  <si>
    <t>6510700000:11:046:0024</t>
  </si>
  <si>
    <t>пр.Перемоги, 14-д</t>
  </si>
  <si>
    <t>№ 12021128 від 12,11,2015</t>
  </si>
  <si>
    <t>12,11,2015</t>
  </si>
  <si>
    <t xml:space="preserve">№ 12021128 </t>
  </si>
  <si>
    <t xml:space="preserve"> 12,11,2015</t>
  </si>
  <si>
    <t>№31-21-0.182-1547/0/209-18 від 01.11.2018</t>
  </si>
  <si>
    <t>2828813690; 2582620334</t>
  </si>
  <si>
    <t>6510700000:03:014:0107</t>
  </si>
  <si>
    <t>ФОП Перетятько Віталій Валерійович</t>
  </si>
  <si>
    <t>вул. Соборна, буд.29, кв.39</t>
  </si>
  <si>
    <t>6510700000:01:001:1083</t>
  </si>
  <si>
    <t>вул.Електромашинобудівників, 31</t>
  </si>
  <si>
    <t>ПЗТ №140/08/17 від 30.08.2017</t>
  </si>
  <si>
    <t>№22469669 від 19.09.2017</t>
  </si>
  <si>
    <t>№22469669</t>
  </si>
  <si>
    <t>19,09,2017</t>
  </si>
  <si>
    <t xml:space="preserve">Гр. Піун Ольга Владиславівна </t>
  </si>
  <si>
    <t>смт.Дніпряни, вул.Масюткіна, 2а</t>
  </si>
  <si>
    <t>6510700000:01:001:0448</t>
  </si>
  <si>
    <t>вул.Першотравнева,  в районі пральні "Сніжинка"</t>
  </si>
  <si>
    <t>ПЗТ №11929 від 26.04.2018</t>
  </si>
  <si>
    <t>26,04,2018</t>
  </si>
  <si>
    <t>№27093843</t>
  </si>
  <si>
    <t>№8/0/209-18 від 11.01.2018</t>
  </si>
  <si>
    <t xml:space="preserve">ФОП Плахін Микола Олексійович </t>
  </si>
  <si>
    <t>вул. Соснова, буд.27</t>
  </si>
  <si>
    <t>6510700000:01:001:0125</t>
  </si>
  <si>
    <t>вул.Першотравнева,  36</t>
  </si>
  <si>
    <t>витяг №5608575</t>
  </si>
  <si>
    <t xml:space="preserve"> 12.05.2014</t>
  </si>
  <si>
    <t xml:space="preserve">р. від 25.05.2017 №829 / 30.08.2017 </t>
  </si>
  <si>
    <t>№75/0/209-17 від 13.06.2017</t>
  </si>
  <si>
    <t>ФОП Повжик Віктор Леонідович</t>
  </si>
  <si>
    <t>вул. Гідробудівників, буд. 4</t>
  </si>
  <si>
    <t>6510700000:01:001:0318</t>
  </si>
  <si>
    <t>вул.Першотравнева, 37-к</t>
  </si>
  <si>
    <t>09,09,2013</t>
  </si>
  <si>
    <t>№3124048</t>
  </si>
  <si>
    <t>29,10,2013</t>
  </si>
  <si>
    <t>№31-21-0.182-1590/0/0209-18 від 12.11.2018</t>
  </si>
  <si>
    <t>пр. Перемоги, буд.8, кв.140</t>
  </si>
  <si>
    <t>6510700000:11:045:0041</t>
  </si>
  <si>
    <t xml:space="preserve"> просп.Перемоги, в районі будівлі №20-б</t>
  </si>
  <si>
    <t>№9066299 від 17.03.2015 року</t>
  </si>
  <si>
    <t>17,03,2015</t>
  </si>
  <si>
    <t>№90966299</t>
  </si>
  <si>
    <t>пр. Дніпровський, буд.39, кв.3</t>
  </si>
  <si>
    <t>6510700000:02:011:0002</t>
  </si>
  <si>
    <t>просп.Дніпровський, 28-г</t>
  </si>
  <si>
    <t>№20631417 від 23.05.2017</t>
  </si>
  <si>
    <t xml:space="preserve">№20631417 </t>
  </si>
  <si>
    <t>1549704248; 3215114179; 3151717317; 1975212796 2399101456</t>
  </si>
  <si>
    <t>6510700000:01:001:0214</t>
  </si>
  <si>
    <t>вул.Гідробудівників, 100</t>
  </si>
  <si>
    <t>651070004000302 від 03.12.2012</t>
  </si>
  <si>
    <t xml:space="preserve">ФОП Покотило Геннадій Анатолійович </t>
  </si>
  <si>
    <t>вул. Р.Зорге, буд.8, кв.42</t>
  </si>
  <si>
    <t>651070000:01:017:0015</t>
  </si>
  <si>
    <t>вул.Затишна, в районі буд.22</t>
  </si>
  <si>
    <t>№13139449 від 01.02.2016</t>
  </si>
  <si>
    <t>01,02,2016</t>
  </si>
  <si>
    <t>№13139449</t>
  </si>
  <si>
    <t>р.с.№829 від 25.05.2017  /13,06,2017</t>
  </si>
  <si>
    <t>№65/0/209-17 від 08.06.2017</t>
  </si>
  <si>
    <t>ФОП Полянська Валентина Степанівна</t>
  </si>
  <si>
    <t>м. Нова Каховка вул. Горького, буд.16-а кв.9</t>
  </si>
  <si>
    <t>6510700000:01:017:0059</t>
  </si>
  <si>
    <t>вул.Затишна,в районі буд.20</t>
  </si>
  <si>
    <t>витяг №8225596 від 24.12.2014</t>
  </si>
  <si>
    <t>24,12,2014</t>
  </si>
  <si>
    <t>29,12,2017 та 08,02,2018</t>
  </si>
  <si>
    <t>№321/0/209-17 від 01.12.2017</t>
  </si>
  <si>
    <t>11,07,2017</t>
  </si>
  <si>
    <t>ФОП Пономарчук Ольга Миколаївна</t>
  </si>
  <si>
    <t>вул.Французька, буд.1, кв.64</t>
  </si>
  <si>
    <t>6510700000:32:074:0005</t>
  </si>
  <si>
    <t>вул.Індустріальна, 17-б</t>
  </si>
  <si>
    <t>№60 від 10.12.2015</t>
  </si>
  <si>
    <t>№23309740 від 07.11.2017</t>
  </si>
  <si>
    <t>№23309740</t>
  </si>
  <si>
    <t xml:space="preserve"> 07.11.2017</t>
  </si>
  <si>
    <t>№29/86-17 від 17.01.2017</t>
  </si>
  <si>
    <t>ФОП Пономарчук Роман Миколайович</t>
  </si>
  <si>
    <t>6510700000:01:001:0282</t>
  </si>
  <si>
    <t>вул.Першотравнева, 1-к</t>
  </si>
  <si>
    <t>№21527012 від 19.07.2017</t>
  </si>
  <si>
    <t>№21527012</t>
  </si>
  <si>
    <t>№122/0/209-17 від 05.07.2017</t>
  </si>
  <si>
    <t>м.Черкаси пров.Разіна, буд.42 кв.2</t>
  </si>
  <si>
    <t>6510700000:01:001:0297</t>
  </si>
  <si>
    <t>вул.Джерельна, 94</t>
  </si>
  <si>
    <t>№922 від 18.12.2012</t>
  </si>
  <si>
    <t>№02-14/1436/02-10/2843 від 08.11.2013</t>
  </si>
  <si>
    <t>гр. Попова Любов Іванівна</t>
  </si>
  <si>
    <t>м.Нова Каховка вул.Горького, 34-а, кв.59</t>
  </si>
  <si>
    <t>6510700000:01:001:1234</t>
  </si>
  <si>
    <t>вул.Соборна , в районі буд.№27-б</t>
  </si>
  <si>
    <t>ПЗТ №265/07/18 від 20.07.2018</t>
  </si>
  <si>
    <t>№27284357 від 26.07.2018</t>
  </si>
  <si>
    <t>№27284357</t>
  </si>
  <si>
    <t>№536/0/209-18 від 15.02.2018</t>
  </si>
  <si>
    <t>6510700000:01:002:0089</t>
  </si>
  <si>
    <t>651070004000238 від 10.09.2012</t>
  </si>
  <si>
    <t>Гр. Приян Михайло Олексійович</t>
  </si>
  <si>
    <t>м.Н.Каховка пров. Прибрежний, буд.15</t>
  </si>
  <si>
    <t>6510700000:01:001:1262</t>
  </si>
  <si>
    <t>пр.Дніпровський, 235</t>
  </si>
  <si>
    <t>№26778416 від 21.06.2018</t>
  </si>
  <si>
    <t>№97-21-0/182-779/0/209-18 від 25.04.2018</t>
  </si>
  <si>
    <t>6510700000:11:046:0001</t>
  </si>
  <si>
    <t>просп.Перемоги, 14-г</t>
  </si>
  <si>
    <t>вул.Соснова, 51</t>
  </si>
  <si>
    <t>040573200019 від 08.02.2005</t>
  </si>
  <si>
    <t>вул. Джерельна, буд.13</t>
  </si>
  <si>
    <t>6510700000:01:001:0858</t>
  </si>
  <si>
    <t>просп.Дніпровський, в районі  буд.№193 та 193-в</t>
  </si>
  <si>
    <t>№18904302 від 02.02.2017</t>
  </si>
  <si>
    <t>14,12,2016</t>
  </si>
  <si>
    <t>№18904302</t>
  </si>
  <si>
    <t>02,02,2017</t>
  </si>
  <si>
    <t>№975/86-16 від 04.07.2016 / 277,17</t>
  </si>
  <si>
    <t>6510700000:01:018:0035</t>
  </si>
  <si>
    <t>№1945 від 05.02.2015</t>
  </si>
  <si>
    <t>№20484623</t>
  </si>
  <si>
    <t xml:space="preserve">№188/86-17 від 14.03.2017 </t>
  </si>
  <si>
    <t>гр. Саприкіна Марія Геннадіївна</t>
  </si>
  <si>
    <t xml:space="preserve">вул.Довженка, 25/75 </t>
  </si>
  <si>
    <t>6510700000:01:001:1079</t>
  </si>
  <si>
    <t>вул.М.Букіна, в районі кафе "Роджер"</t>
  </si>
  <si>
    <t>№21732631 від 31.07.2017</t>
  </si>
  <si>
    <t>№21732631</t>
  </si>
  <si>
    <t>31,07,2017</t>
  </si>
  <si>
    <t>№31/0/209-17 від 05.05.2017</t>
  </si>
  <si>
    <t>651070000:11:045:0038</t>
  </si>
  <si>
    <t>вул.Соборна, буд.39 кв.70</t>
  </si>
  <si>
    <t>651070000:11:046:0043</t>
  </si>
  <si>
    <t>6510700000:01:001:0829</t>
  </si>
  <si>
    <t>вул.Новокаховське шосе, в районі СТ "Енергетик"</t>
  </si>
  <si>
    <t>6510700000:01:001:0789</t>
  </si>
  <si>
    <t>вул.Заводська, в районі будівлі №38</t>
  </si>
  <si>
    <t>651070000:11:045:0044</t>
  </si>
  <si>
    <t xml:space="preserve"> №6157028</t>
  </si>
  <si>
    <t>6510700000:29:059:0017</t>
  </si>
  <si>
    <t>вул.Р.Зорге, 7</t>
  </si>
  <si>
    <t>гр. Соменко Євген Володимирович</t>
  </si>
  <si>
    <t>пр. Дніпровський, 167</t>
  </si>
  <si>
    <t>6510700000:16:033:0408</t>
  </si>
  <si>
    <t>пр.Дніпровський, 167</t>
  </si>
  <si>
    <t>041073200019 від 12.03.2010</t>
  </si>
  <si>
    <t>19,01,2010</t>
  </si>
  <si>
    <t>12,03,2010</t>
  </si>
  <si>
    <t>вул. Довженка, 33/9</t>
  </si>
  <si>
    <t>6510700000:05:010:0009</t>
  </si>
  <si>
    <t>пр.Дніпровський, 40-а</t>
  </si>
  <si>
    <t>№29191883 від 27.11.2018</t>
  </si>
  <si>
    <t>№29191883</t>
  </si>
  <si>
    <t>№31-21-0.182-1591/0/209-18 від 12.11.2018</t>
  </si>
  <si>
    <t>м Н.Каховка пр. Перемоги, 13/322</t>
  </si>
  <si>
    <t>6510700000:01:001:1267</t>
  </si>
  <si>
    <t>вул.Горького, 19</t>
  </si>
  <si>
    <t>№27268778 від 26.07.2018</t>
  </si>
  <si>
    <t>03,07,2018</t>
  </si>
  <si>
    <t>№27268778</t>
  </si>
  <si>
    <t>№97-21-0.182-837/0/209-18 від 18.05.2018</t>
  </si>
  <si>
    <t>6510700000:01:001:1266</t>
  </si>
  <si>
    <t>№27268505 від 26.07.2018</t>
  </si>
  <si>
    <t>№27268505</t>
  </si>
  <si>
    <t>№97-21-0.182-838/0/209-18 від 18.05.2018</t>
  </si>
  <si>
    <t>6510700000:01:001:1193</t>
  </si>
  <si>
    <t>вул. М.Букіна, в районі буд.№62</t>
  </si>
  <si>
    <t>аукціон П.К. від 16.02.2018 №197/02/18</t>
  </si>
  <si>
    <t>№25639920 від 04.04.2018</t>
  </si>
  <si>
    <t>№25639920</t>
  </si>
  <si>
    <t>№265/0/209-17 від 24.10.2017</t>
  </si>
  <si>
    <t>15,11,2017</t>
  </si>
  <si>
    <t>ФОП Стукан Сергій Миколайович</t>
  </si>
  <si>
    <t>м.Каховка вул. Пушкіна, буд.130 кв.18</t>
  </si>
  <si>
    <t>6510700000:01:001:0830</t>
  </si>
  <si>
    <t>вул.Горького - просп.Перемоги</t>
  </si>
  <si>
    <t>№17557393 від 16.11.2016</t>
  </si>
  <si>
    <t>№17557393</t>
  </si>
  <si>
    <t>№827/86-16 від 19.04.2016</t>
  </si>
  <si>
    <t xml:space="preserve">гр. Стрельцова Ксенія Генадіївна </t>
  </si>
  <si>
    <t xml:space="preserve">Бериславський район с.Веселе вул. Херсонська, буд.42 </t>
  </si>
  <si>
    <t>6510700000:03:014:0058</t>
  </si>
  <si>
    <t>вул. Промислова, 69</t>
  </si>
  <si>
    <t>№27999333 від 17.09.2018</t>
  </si>
  <si>
    <t>№27999333</t>
  </si>
  <si>
    <t>08,11,2018 (угода1)</t>
  </si>
  <si>
    <t>№97-21-0.182-834/0/209-18 від 18.05.2018</t>
  </si>
  <si>
    <t>смт.Дніпряни вул..Шевченко, буд.10А</t>
  </si>
  <si>
    <t>6510700000:05:010:0007</t>
  </si>
  <si>
    <t>пр.Дніпровський,30-б</t>
  </si>
  <si>
    <t>№20058063</t>
  </si>
  <si>
    <t>6510700000:01:006:0005</t>
  </si>
  <si>
    <t>18,07,2007</t>
  </si>
  <si>
    <t>040773200081 від 18.07.07 (угода №1 від 01.02.2010р. №051073200004), (угода №2 від 14.11.2011р. №651070004000079)</t>
  </si>
  <si>
    <t>6510700000:01:001:0575</t>
  </si>
  <si>
    <t>вул.Першотравнева, в районі будинку №10</t>
  </si>
  <si>
    <t>ФОП Сухроменда Володимир Михайлович</t>
  </si>
  <si>
    <t>м. Нова Каховка, вул. М. Букіна, 28 кв.25</t>
  </si>
  <si>
    <t>651070000:11:053:0040</t>
  </si>
  <si>
    <t>пр.Перемоги, 33-а</t>
  </si>
  <si>
    <t>витяг №8432729 від 20.01.2015</t>
  </si>
  <si>
    <t>12,05,2016</t>
  </si>
  <si>
    <t>№8432729</t>
  </si>
  <si>
    <t xml:space="preserve"> 20.01.2015</t>
  </si>
  <si>
    <t>№31-21-0.182-1637/0/209-18 від 16.11.2018</t>
  </si>
  <si>
    <t>Гр. Тенкач Сергій Семенович</t>
  </si>
  <si>
    <t>Каховський р-н, с.Любимівка, вул. Колгоспна, буд.5</t>
  </si>
  <si>
    <t>6510700000:01:001:0914</t>
  </si>
  <si>
    <t>№21524128 від 19.07.2017</t>
  </si>
  <si>
    <t>№21524128</t>
  </si>
  <si>
    <t>вул. Матросова, буд.21</t>
  </si>
  <si>
    <t>6510700000:01:001:0027</t>
  </si>
  <si>
    <t>вул.Першотравнева, 2/17</t>
  </si>
  <si>
    <t>№2259 від 08.10.2015</t>
  </si>
  <si>
    <t>№18759828 від 24.01.2017</t>
  </si>
  <si>
    <t>№18759828</t>
  </si>
  <si>
    <t>гр. Тищенко Віталій Іванович</t>
  </si>
  <si>
    <t>Запорізька область, с.Кірове, вул.Жовтнева, 11а</t>
  </si>
  <si>
    <t>6510700000:01:017:0046</t>
  </si>
  <si>
    <t>вул. Затишна, в районі буд.№32</t>
  </si>
  <si>
    <t>ПЗТ №228/05/2018 від 25,05,2018</t>
  </si>
  <si>
    <t>№26553749 від 07.06.2018</t>
  </si>
  <si>
    <t>№26553749</t>
  </si>
  <si>
    <t>№7/0/209-18 від 11.01.2018</t>
  </si>
  <si>
    <t>6510700000:01:001:0825</t>
  </si>
  <si>
    <t>6510700000:11:046:0042</t>
  </si>
  <si>
    <t>пр.Перемоги,14</t>
  </si>
  <si>
    <t>040973200085 від 02.07.2009</t>
  </si>
  <si>
    <t>Гр.Харченко Євген Ігоревич</t>
  </si>
  <si>
    <t>пр.Перемоги, буд.3, кв.130</t>
  </si>
  <si>
    <t>6510700000:10:044:0017</t>
  </si>
  <si>
    <t>вул.Соборна, в р-ні буд. №22</t>
  </si>
  <si>
    <t>ПЗТ від 14.07.2017</t>
  </si>
  <si>
    <t>№21955387 від 16.08.2017</t>
  </si>
  <si>
    <t>№21955387</t>
  </si>
  <si>
    <t>6510700000:01:017:0097</t>
  </si>
  <si>
    <t>вул.М.Букіна, в районі будинку №56</t>
  </si>
  <si>
    <t>6510700000:01:001:1212</t>
  </si>
  <si>
    <t>6510700000:01:003:0047</t>
  </si>
  <si>
    <t xml:space="preserve">вул.Ентузіастів </t>
  </si>
  <si>
    <t>040573200113 від 29.12.2005</t>
  </si>
  <si>
    <t>6510700000:01:001:0590</t>
  </si>
  <si>
    <t>6510700000:01:001:0324</t>
  </si>
  <si>
    <t>просп.Перемоги, 14-ж</t>
  </si>
  <si>
    <t xml:space="preserve"> №6073884</t>
  </si>
  <si>
    <t xml:space="preserve"> 20.06.2014</t>
  </si>
  <si>
    <t>Чумакова Наталія Марківна</t>
  </si>
  <si>
    <t>вул.Історична, 148</t>
  </si>
  <si>
    <t>6510700000:01:001:0057</t>
  </si>
  <si>
    <t>№4699683 від 17.02.2014</t>
  </si>
  <si>
    <t>17,02,2014</t>
  </si>
  <si>
    <t>№4699683</t>
  </si>
  <si>
    <t>6510700000:03:013:0002</t>
  </si>
  <si>
    <t>вул.Промислова, 9-б</t>
  </si>
  <si>
    <t>6510700000:01:001:1135 (№4)</t>
  </si>
  <si>
    <t>№971 від 05.10.2017</t>
  </si>
  <si>
    <t>6510700000:01:001:1134 (№3)</t>
  </si>
  <si>
    <t>№286/0/209-17 від 01.11.2017</t>
  </si>
  <si>
    <t>6510700000:01:001:1133( №2)</t>
  </si>
  <si>
    <t>№282/0/209-17 від 01.11.2017</t>
  </si>
  <si>
    <t>6510700000:01:001:1136 (№5)</t>
  </si>
  <si>
    <t xml:space="preserve">вул.Промислова, 9-б </t>
  </si>
  <si>
    <t>6510700000:01:001:1132 (№1)</t>
  </si>
  <si>
    <t>№23473746 від 15,11,2017</t>
  </si>
  <si>
    <t>№23473746</t>
  </si>
  <si>
    <t>№284/0/209-17 від 12.10.2017</t>
  </si>
  <si>
    <t>6510700000:01:001:1137 (№6)</t>
  </si>
  <si>
    <t>№23474656 (суборенда №23623742)</t>
  </si>
  <si>
    <t>№285/0/209-17 від 12.10.2017</t>
  </si>
  <si>
    <t xml:space="preserve">гр. Чепурко Тетяна Леонідівна </t>
  </si>
  <si>
    <t>вул. М.Букіна, буд.26, кв.14</t>
  </si>
  <si>
    <t>6510700000:01:001:1061</t>
  </si>
  <si>
    <t>вул.Історична, в районі будинку автошколи</t>
  </si>
  <si>
    <t>№21525315 від 19,07,2017</t>
  </si>
  <si>
    <t>№21525315</t>
  </si>
  <si>
    <t>Чепрас Олександр Степанович</t>
  </si>
  <si>
    <t>пр. Перемоги, буд.13, кв.95</t>
  </si>
  <si>
    <t>6510700000:01:001:0261</t>
  </si>
  <si>
    <t>вул.Соборна, 55-а</t>
  </si>
  <si>
    <t>№254 від 14.04.2016</t>
  </si>
  <si>
    <t>№18893619 від 04.02.2017</t>
  </si>
  <si>
    <t>№18893619</t>
  </si>
  <si>
    <t>№911/86-16 від 03.06.2016</t>
  </si>
  <si>
    <t>6510700000:01:001:0610</t>
  </si>
  <si>
    <t>Гр.Чиркіна Людмила Юріївна</t>
  </si>
  <si>
    <t>Каховський район, с. Василівка, вул. Фрунзе, буд.41</t>
  </si>
  <si>
    <t>6510700000:01:016:0043</t>
  </si>
  <si>
    <t>вул.Першотравнева, в районі буд.№33</t>
  </si>
  <si>
    <t>№22539581 від 22.09.2017</t>
  </si>
  <si>
    <t>№22539581</t>
  </si>
  <si>
    <t>№86/209-17 від 19.06.2017</t>
  </si>
  <si>
    <t xml:space="preserve">Гр.Шаповалов Віктор Миколайович </t>
  </si>
  <si>
    <t>вул. Горького, буд.16-б, кв.16</t>
  </si>
  <si>
    <t>6510700000:01:001:0614</t>
  </si>
  <si>
    <t>вул.Дружби, 23-а</t>
  </si>
  <si>
    <t>№1175 від 23.10.2014</t>
  </si>
  <si>
    <t>№23814390 від 04.12.2017</t>
  </si>
  <si>
    <t>№23814390</t>
  </si>
  <si>
    <t>№02-11/1514/02-10/2497 від 11.11.2014 / 340,49</t>
  </si>
  <si>
    <t>6510700000:01:001:0480</t>
  </si>
  <si>
    <t xml:space="preserve">пров.Прибережний, 4 </t>
  </si>
  <si>
    <t>Каховський район, с.Роздольне вул.Макаренко, буд.5 кв.3</t>
  </si>
  <si>
    <t>651070000:13:055:0011</t>
  </si>
  <si>
    <t>пр.Перемоги, в районі буд.1</t>
  </si>
  <si>
    <t>№1219 від 08.02.2018</t>
  </si>
  <si>
    <t>№7929774</t>
  </si>
  <si>
    <t xml:space="preserve"> 03.12.2014</t>
  </si>
  <si>
    <t>№468/0/209-18 від 15.02.2018</t>
  </si>
  <si>
    <t>гр. Шкута Дмитро Олегович</t>
  </si>
  <si>
    <t>вул. Соборна, буд.59, кв.26</t>
  </si>
  <si>
    <t>6510700000:12:054:0016</t>
  </si>
  <si>
    <t>вул.Горького, біля колишнього ВАТ Приладобудівний завод "Сокіл"</t>
  </si>
  <si>
    <t>№225925242 від 27.09.2017</t>
  </si>
  <si>
    <t>№225925242</t>
  </si>
  <si>
    <t>№87/209-17 від 19.06.2017</t>
  </si>
  <si>
    <t>вул.Соборна, буд.39, кв.73 (вул.Калініна, буд.6)</t>
  </si>
  <si>
    <t>3022406825 (2530510911)</t>
  </si>
  <si>
    <t>6510700000:01:016:0077</t>
  </si>
  <si>
    <t>6510700000:01:001:0769</t>
  </si>
  <si>
    <t xml:space="preserve">ФОП Ямщикова Олена Сергіївна </t>
  </si>
  <si>
    <t>вул. Маяковського, буд.8, кв.3</t>
  </si>
  <si>
    <t>вул.Ентузіастів, в районі кафе "Роксолана"</t>
  </si>
  <si>
    <t xml:space="preserve">№6236884 </t>
  </si>
  <si>
    <t>№97-21-0.182-975/0/209-18 від 26.06.2018</t>
  </si>
  <si>
    <t>01352758</t>
  </si>
  <si>
    <t>01352818</t>
  </si>
  <si>
    <t>01886141</t>
  </si>
  <si>
    <t>30.06.2017</t>
  </si>
  <si>
    <t>16.01.2018</t>
  </si>
  <si>
    <t>23.01.2017</t>
  </si>
  <si>
    <t>14142442</t>
  </si>
  <si>
    <t>21273392</t>
  </si>
  <si>
    <t>27.10.2017</t>
  </si>
  <si>
    <t>09.01.2018</t>
  </si>
  <si>
    <t>23136854</t>
  </si>
  <si>
    <t>20.05.2016</t>
  </si>
  <si>
    <t>20.01.2017</t>
  </si>
  <si>
    <t>23139574</t>
  </si>
  <si>
    <t>02.08.2013</t>
  </si>
  <si>
    <t>13.07.2018</t>
  </si>
  <si>
    <t>24109479</t>
  </si>
  <si>
    <t>25.01.2018</t>
  </si>
  <si>
    <t>03355353</t>
  </si>
  <si>
    <t>05396638</t>
  </si>
  <si>
    <t>27.02.2018</t>
  </si>
  <si>
    <t>18.05.2018</t>
  </si>
  <si>
    <t>14.08.2018</t>
  </si>
  <si>
    <t>29.08.2018</t>
  </si>
  <si>
    <t>16.10.2018</t>
  </si>
  <si>
    <t>14.12.2015</t>
  </si>
  <si>
    <t>00135390</t>
  </si>
  <si>
    <t>14125484</t>
  </si>
  <si>
    <t>14.09.2017</t>
  </si>
  <si>
    <t>01.11.2017</t>
  </si>
  <si>
    <t>20.12.2017</t>
  </si>
  <si>
    <t>05.01.2018</t>
  </si>
  <si>
    <t>22.02.2018</t>
  </si>
  <si>
    <t>01.03.2016</t>
  </si>
  <si>
    <t>23.05.2016</t>
  </si>
  <si>
    <t>02723300</t>
  </si>
  <si>
    <t>33141407</t>
  </si>
  <si>
    <t>13.07.2017</t>
  </si>
  <si>
    <t>14121018</t>
  </si>
  <si>
    <t>17.08.2017</t>
  </si>
  <si>
    <t>11.01.2018</t>
  </si>
  <si>
    <t>02.02.2018</t>
  </si>
  <si>
    <t>14.11.2017</t>
  </si>
  <si>
    <t>23.02.2018</t>
  </si>
  <si>
    <t>21.03.2018</t>
  </si>
  <si>
    <t>04.12.2017</t>
  </si>
  <si>
    <t>17.09.2014</t>
  </si>
  <si>
    <t>12.02.2018</t>
  </si>
  <si>
    <t>06.04.2018</t>
  </si>
  <si>
    <t>16.03.2018</t>
  </si>
  <si>
    <t>21.06.2017</t>
  </si>
  <si>
    <t>04.06.2018</t>
  </si>
  <si>
    <t>07.06.2018</t>
  </si>
  <si>
    <t>17.07.2018</t>
  </si>
  <si>
    <t>10.12.2018</t>
  </si>
  <si>
    <t>17.05.2018</t>
  </si>
  <si>
    <t>21.06.2018</t>
  </si>
  <si>
    <t>25.05.2016</t>
  </si>
  <si>
    <t>26.11.2014</t>
  </si>
  <si>
    <t>10.02.2016</t>
  </si>
  <si>
    <t>29.01.2018</t>
  </si>
  <si>
    <t>2846908367</t>
  </si>
  <si>
    <t>22.08.2018</t>
  </si>
  <si>
    <t>0,0500</t>
  </si>
  <si>
    <t>0,0600</t>
  </si>
  <si>
    <t>1502111855</t>
  </si>
  <si>
    <t>3076418817</t>
  </si>
  <si>
    <t>02.07.2018</t>
  </si>
  <si>
    <t>16.02.2018</t>
  </si>
  <si>
    <t>04.04.2018</t>
  </si>
  <si>
    <t>05.09.2018</t>
  </si>
  <si>
    <t>24.01.2018</t>
  </si>
  <si>
    <t>07.10.2016</t>
  </si>
  <si>
    <t>16.01.2017</t>
  </si>
  <si>
    <t>28.03.2018</t>
  </si>
  <si>
    <t>15.05.2018</t>
  </si>
  <si>
    <t>12.07.2018</t>
  </si>
  <si>
    <t>2288211959</t>
  </si>
  <si>
    <t>19.08.2017</t>
  </si>
  <si>
    <t>12.09.2017</t>
  </si>
  <si>
    <t>18.06.2014</t>
  </si>
  <si>
    <t>17.12.2012</t>
  </si>
  <si>
    <t>651070004000323</t>
  </si>
  <si>
    <t>11.09.2014</t>
  </si>
  <si>
    <t>27.04.2018</t>
  </si>
  <si>
    <t>28.09.2018</t>
  </si>
  <si>
    <t>25.05.2018</t>
  </si>
  <si>
    <t>13.06.2018</t>
  </si>
  <si>
    <t>01.03.2017</t>
  </si>
  <si>
    <t>1971701598</t>
  </si>
  <si>
    <t>2422901751</t>
  </si>
  <si>
    <t>2589116724</t>
  </si>
  <si>
    <t>0,0012</t>
  </si>
  <si>
    <t>1972504538</t>
  </si>
  <si>
    <t>2778709131</t>
  </si>
  <si>
    <t>0,0740</t>
  </si>
  <si>
    <t>10.07.2017</t>
  </si>
  <si>
    <t>2703601580</t>
  </si>
  <si>
    <t>1749411887</t>
  </si>
  <si>
    <t>02.07.2014</t>
  </si>
  <si>
    <t>13.03.2018</t>
  </si>
  <si>
    <t>03.04.2018</t>
  </si>
  <si>
    <t>24.10.2018</t>
  </si>
  <si>
    <t>3176909894</t>
  </si>
  <si>
    <t>12.07.2017</t>
  </si>
  <si>
    <t>28.12.2016</t>
  </si>
  <si>
    <t>2522320622</t>
  </si>
  <si>
    <t>2654418816 2673219140</t>
  </si>
  <si>
    <t>08.09.2017</t>
  </si>
  <si>
    <t>2393809619</t>
  </si>
  <si>
    <t>08.11.2017</t>
  </si>
  <si>
    <t>21.12.2018</t>
  </si>
  <si>
    <t>14.01.2019</t>
  </si>
  <si>
    <t>2885537174 2381907441</t>
  </si>
  <si>
    <t>07.07.2017</t>
  </si>
  <si>
    <t>27.11.2018</t>
  </si>
  <si>
    <t>23.07.2018</t>
  </si>
  <si>
    <t>02.02.2015</t>
  </si>
  <si>
    <t>15.04.2018</t>
  </si>
  <si>
    <t>19.04.2018</t>
  </si>
  <si>
    <t xml:space="preserve"> 3131111043</t>
  </si>
  <si>
    <t/>
  </si>
  <si>
    <t>28.08.2018</t>
  </si>
  <si>
    <t>06.09.2018</t>
  </si>
  <si>
    <t>04.02.2015</t>
  </si>
  <si>
    <t>26.03.2018</t>
  </si>
  <si>
    <t>29.05.2018</t>
  </si>
  <si>
    <t>12.04.2018</t>
  </si>
  <si>
    <t>2828813690</t>
  </si>
  <si>
    <t>30.08.2017</t>
  </si>
  <si>
    <t>2384117781</t>
  </si>
  <si>
    <t>23.12.2006</t>
  </si>
  <si>
    <t>23.05.2017</t>
  </si>
  <si>
    <t>01.02.2016</t>
  </si>
  <si>
    <t>02.10.2017</t>
  </si>
  <si>
    <t>2714808837</t>
  </si>
  <si>
    <t>19.07.2017</t>
  </si>
  <si>
    <t>19.11.2013</t>
  </si>
  <si>
    <t>11.12.2003</t>
  </si>
  <si>
    <t>20.07.2018</t>
  </si>
  <si>
    <t>26.07.2018</t>
  </si>
  <si>
    <t>05.05.2018</t>
  </si>
  <si>
    <t>2715301581</t>
  </si>
  <si>
    <t>15.05.2017</t>
  </si>
  <si>
    <t>3008907858</t>
  </si>
  <si>
    <t>14.07.2017</t>
  </si>
  <si>
    <t>19.09.2016</t>
  </si>
  <si>
    <t>27.06.2014</t>
  </si>
  <si>
    <t>041073200019</t>
  </si>
  <si>
    <t>27.10.2016</t>
  </si>
  <si>
    <t>17.09.2018</t>
  </si>
  <si>
    <t>14.04.2017</t>
  </si>
  <si>
    <t>2290302278</t>
  </si>
  <si>
    <t>28.12.2015</t>
  </si>
  <si>
    <t>24.01.2017</t>
  </si>
  <si>
    <t>2968117374</t>
  </si>
  <si>
    <t>0,0154</t>
  </si>
  <si>
    <t/>
  </si>
  <si>
    <t/>
  </si>
  <si>
    <t>30.10.2017</t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</si>
  <si>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</si>
  <si>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</si>
  <si>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</si>
  <si>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</si>
  <si>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</si>
  <si>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</si>
  <si>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</si>
  <si>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</si>
  <si>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</si>
  <si>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</si>
  <si>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</si>
  <si>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/>
  </si>
  <si>
    <t>04.08.2016</t>
  </si>
  <si>
    <t>04.02.2017</t>
  </si>
  <si>
    <t>319920222</t>
  </si>
  <si>
    <t>15.09.2017</t>
  </si>
  <si>
    <t>2276202059</t>
  </si>
  <si>
    <t>27.11.2017</t>
  </si>
  <si>
    <t>19.02.2018</t>
  </si>
  <si>
    <t>3044507879</t>
  </si>
  <si>
    <t>27.09.2017</t>
  </si>
  <si>
    <t>05.07.2014</t>
  </si>
  <si>
    <t>Орендар (назва юр. особи або фіз.особи)</t>
  </si>
  <si>
    <t>Місце проживання/реєстрації орендаря</t>
  </si>
  <si>
    <t>КОД КОАТУ</t>
  </si>
  <si>
    <t>Кадастровий номер земельної ділянки</t>
  </si>
  <si>
    <t>Місцезнаходження земельної ділянки (адреса)</t>
  </si>
  <si>
    <t>№ та дата рішення сесії</t>
  </si>
  <si>
    <t>№ та дата реєстрації договору оренди</t>
  </si>
  <si>
    <t>№ запису державної реєстрації права оренди землі</t>
  </si>
  <si>
    <t>Дата державної реєстрації права оренди землі</t>
  </si>
  <si>
    <t>Дата державної реєстрації права оренди землі у разі змін</t>
  </si>
  <si>
    <t>Категорія земель, які передаються в оренду</t>
  </si>
  <si>
    <t>Площа земель, які передаються в оренду,га</t>
  </si>
  <si>
    <t>Грошова оцінка земельної ділянки,грн/ рік</t>
  </si>
  <si>
    <t>№ та дата витягу про нормативну грошову оцінку земельної ділянки</t>
  </si>
  <si>
    <t>термін дії договору, рік</t>
  </si>
  <si>
    <t>Цільове призначення земельної ділянки</t>
  </si>
  <si>
    <t>10,11,2021</t>
  </si>
  <si>
    <t xml:space="preserve">виробничі споруди підприємтсва зв"язку </t>
  </si>
  <si>
    <t>13,03</t>
  </si>
  <si>
    <t>виробничі споруди</t>
  </si>
  <si>
    <t>розміщення інших технічних засобів зв"язку</t>
  </si>
  <si>
    <t>розміщення та експлуатації інших технічних засобів зв"язку</t>
  </si>
  <si>
    <t>до 11,04,2044</t>
  </si>
  <si>
    <t xml:space="preserve">виробнича база </t>
  </si>
  <si>
    <t>11</t>
  </si>
  <si>
    <t>11,04,2044</t>
  </si>
  <si>
    <t>для розміщення та обслуговування виробничо-торгівельної бази</t>
  </si>
  <si>
    <t>03</t>
  </si>
  <si>
    <t>торгова точка та благоустрою автобусної зупинки</t>
  </si>
  <si>
    <t>виробнича база по заготівлі вторинної сировини</t>
  </si>
  <si>
    <t>11.02</t>
  </si>
  <si>
    <t>пункт прийому макулатури</t>
  </si>
  <si>
    <t>03,07</t>
  </si>
  <si>
    <t>викуплені споруди виробничої бази та під складування та торгівлю будматеріалами</t>
  </si>
  <si>
    <t>будівлі виробничо-будівельної бази</t>
  </si>
  <si>
    <t>11,03</t>
  </si>
  <si>
    <t>для розміщення та обслуговування комплексу будівель та споруд асфальтного заводу</t>
  </si>
  <si>
    <t>11,02</t>
  </si>
  <si>
    <t xml:space="preserve">Комплекс виробничих споруд по виробництву будівельних конструкцій </t>
  </si>
  <si>
    <t>11.03</t>
  </si>
  <si>
    <t>11.03.</t>
  </si>
  <si>
    <t>торгівельний кіоск</t>
  </si>
  <si>
    <t>кафе "Яблоня"</t>
  </si>
  <si>
    <t>бар "Роджер"</t>
  </si>
  <si>
    <t>намет для сезонної торгівлі біля бару "Роджер"</t>
  </si>
  <si>
    <t>будівництво та реконструкція викуплених виробничих будівель для торгівельного комплексу</t>
  </si>
  <si>
    <t>ГРП-1</t>
  </si>
  <si>
    <t>ГРП-2</t>
  </si>
  <si>
    <t>ГРП-3</t>
  </si>
  <si>
    <t>ГРП-5</t>
  </si>
  <si>
    <t>ГРП-6</t>
  </si>
  <si>
    <t>ГРП-7</t>
  </si>
  <si>
    <t>ГРП-8</t>
  </si>
  <si>
    <t>ГРП-9</t>
  </si>
  <si>
    <t>головне ГРП</t>
  </si>
  <si>
    <t>гаражі підприємства</t>
  </si>
  <si>
    <t>25,02,2021</t>
  </si>
  <si>
    <t>виробнича база підприємства</t>
  </si>
  <si>
    <t>14</t>
  </si>
  <si>
    <t>для буд-ва ЛЕП-0,4 кВ для приєднання електроустановок ФОП Довбні А.М.</t>
  </si>
  <si>
    <t>14.02</t>
  </si>
  <si>
    <t xml:space="preserve">для буд-ва ЛЕП-0,4 кВ для приєднання електроустановок </t>
  </si>
  <si>
    <t xml:space="preserve">для буд-ва ЛЕП-0,4 кВ від РУ-0.4 кВ ЗТП-6/04 кВ №37,для забезпечення  приєднання електроустановок </t>
  </si>
  <si>
    <t xml:space="preserve">для розміщення об"єкту енергетичної інфраструктури - прокладання електричного кабелю ЛЕП-0,4 кВ </t>
  </si>
  <si>
    <t>адміністративна споруда (будівля)</t>
  </si>
  <si>
    <t>07,01</t>
  </si>
  <si>
    <t>павільйон обміну валют</t>
  </si>
  <si>
    <t>автомобільна газоноповнювальна компресорна станція</t>
  </si>
  <si>
    <t>АЗС</t>
  </si>
  <si>
    <t>кафе-бар "Діброва"</t>
  </si>
  <si>
    <t xml:space="preserve">багатоквартирний житловий будинок </t>
  </si>
  <si>
    <t>02,03</t>
  </si>
  <si>
    <t>05,10,2020</t>
  </si>
  <si>
    <t xml:space="preserve">будівля інституту </t>
  </si>
  <si>
    <t>03,15</t>
  </si>
  <si>
    <t>адміністративно-побутовий комплекс ТОВ "Південенерго"</t>
  </si>
  <si>
    <t xml:space="preserve">для роширення земельної ділянки яка знаходиться увласності під спорудами підприємства </t>
  </si>
  <si>
    <t>03,10</t>
  </si>
  <si>
    <t>учбовий автодром</t>
  </si>
  <si>
    <t>03,02</t>
  </si>
  <si>
    <t>виробничі приміщення по обробці металу</t>
  </si>
  <si>
    <t>виробничі будівлі та споруди</t>
  </si>
  <si>
    <t xml:space="preserve">виробнича база по виробництву металевих конструкцій </t>
  </si>
  <si>
    <t>викуплений об"єкт незавершеного буд-ва торгівельно-оптової бази</t>
  </si>
  <si>
    <t>для розміщення та обслуговування будівель та споруд підприємства по виробництву електричних машин - насосної станції з натином</t>
  </si>
  <si>
    <t>для розміщення та обслуговування будівель та споруд підприємства по виробництву електричних машин-корпус №13</t>
  </si>
  <si>
    <t>для розміщення та обслуговування будівель та споруд підприємства по виробництву електричних машин-корпус №78</t>
  </si>
  <si>
    <t>будівлі підприємства по виробництву електричних машин - головного корпусу №1-А</t>
  </si>
  <si>
    <t>трансформаторнав підстанція 35/10</t>
  </si>
  <si>
    <t>до 30.10.2018</t>
  </si>
  <si>
    <t>для розміщення артезіанських свердловин та трансформаторної підстанції</t>
  </si>
  <si>
    <t>до 23,11,2020</t>
  </si>
  <si>
    <t>будівництво сміттєпероробного комплексу</t>
  </si>
  <si>
    <t>11.04</t>
  </si>
  <si>
    <t>АГНС</t>
  </si>
  <si>
    <t>до 21.12.2020</t>
  </si>
  <si>
    <t>для розміщення та обслуговування частини комплексу виробничих нежитлових будівель та споруд - цеху полістиролу</t>
  </si>
  <si>
    <t>будівельна  база</t>
  </si>
  <si>
    <t>будівництво АЗС</t>
  </si>
  <si>
    <t>спортивно-технічний клуб</t>
  </si>
  <si>
    <t>07.02</t>
  </si>
  <si>
    <t xml:space="preserve">реконструкція існуючої нежитлової будівлі пневматичного тиру </t>
  </si>
  <si>
    <t>будівля житлово-готельного комплексу</t>
  </si>
  <si>
    <t>03,08</t>
  </si>
  <si>
    <t>комплекс нежитлових будівель підприємства газопостачання</t>
  </si>
  <si>
    <t>для обслуговування транспортної компанії та обслуговування вантажного транспорту</t>
  </si>
  <si>
    <t>12.08</t>
  </si>
  <si>
    <t>будівлі та споруди автотранспортного підприємства</t>
  </si>
  <si>
    <t>12.04</t>
  </si>
  <si>
    <t>03.10</t>
  </si>
  <si>
    <t>торгівельно- виставковий центр</t>
  </si>
  <si>
    <t>03.07</t>
  </si>
  <si>
    <t>склад зберігання металу та металоконструкцій</t>
  </si>
  <si>
    <t>Для будівництва та обслуговування СТО та магазину</t>
  </si>
  <si>
    <t>виробнича база</t>
  </si>
  <si>
    <t>Офіс</t>
  </si>
  <si>
    <t>торгівельний павільйон в комплексі з автобусною зупинкою</t>
  </si>
  <si>
    <t>благоустрій біля земельної ділянки біля кафе-бару "Абсолют"</t>
  </si>
  <si>
    <t>для розміщення та обслуговування незавершеного будівництва АЗС</t>
  </si>
  <si>
    <t xml:space="preserve">для реконструкції нежитлових споруд під заклади побутового обслуговування </t>
  </si>
  <si>
    <t>03.13</t>
  </si>
  <si>
    <t>будівлі торгівлі (викуплена будівля мийки)</t>
  </si>
  <si>
    <t>облаштування автопарковки автомобілів та благоустрою</t>
  </si>
  <si>
    <t>для розміщення об"єкту енергетичної інфраструктури - сонячної електростанції (джерело альтернативної енергетики)</t>
  </si>
  <si>
    <t>14,01</t>
  </si>
  <si>
    <t>магазин</t>
  </si>
  <si>
    <t xml:space="preserve">реконструкція існуючого кіоску під кафе з літнім майданчиком </t>
  </si>
  <si>
    <t>торгівельний павільйон №13</t>
  </si>
  <si>
    <t>буд-во складського приміщення</t>
  </si>
  <si>
    <t>гараж</t>
  </si>
  <si>
    <t>АГЗС</t>
  </si>
  <si>
    <t>виробничі споруди по виготовленню олії</t>
  </si>
  <si>
    <t>кафе</t>
  </si>
  <si>
    <t>торгівельні павільон №11-12, №18-19</t>
  </si>
  <si>
    <t>об'єкти торгівлі</t>
  </si>
  <si>
    <t>під будівництво магазину "Меблі на всі смаки"</t>
  </si>
  <si>
    <t xml:space="preserve">реконструкція комплексу виробничої бази "Моноліт" під комплекс будівель та споруд по виробництву меблів </t>
  </si>
  <si>
    <t>будівництво магазину</t>
  </si>
  <si>
    <t>08,10,2025</t>
  </si>
  <si>
    <t>житловий будинок</t>
  </si>
  <si>
    <t>на 3 роки (до 21.03.2021)</t>
  </si>
  <si>
    <t>комплекс виробничих будівель по виготовленню розсільного сиру</t>
  </si>
  <si>
    <t>до 27.10.2021</t>
  </si>
  <si>
    <t>до 22.08.2023</t>
  </si>
  <si>
    <t>буд-во та обслуговування будівель торгівлі</t>
  </si>
  <si>
    <t>клуб відпочинку "Шабо"</t>
  </si>
  <si>
    <t>кафе "Волна"</t>
  </si>
  <si>
    <t>під розширення земельної ділянки під житло</t>
  </si>
  <si>
    <t>об"єкти торгівлі</t>
  </si>
  <si>
    <t>цех по виготовленню  металоконструкцій</t>
  </si>
  <si>
    <t>торгівельний павільйон</t>
  </si>
  <si>
    <t>об"єкти торгівлі та офісні приміщення</t>
  </si>
  <si>
    <t>будівництво об"єктів торгівлі</t>
  </si>
  <si>
    <t>павільйон "Екологічна чистка подушок"</t>
  </si>
  <si>
    <t>реконструкція колишньої будівлі під склад</t>
  </si>
  <si>
    <t>Для розміщення та обслуговування виробничих споруд по переробці рибної продукції</t>
  </si>
  <si>
    <t xml:space="preserve">об"єкти торгівлі </t>
  </si>
  <si>
    <t>буд-во будівель торгівлі</t>
  </si>
  <si>
    <t>кафе "Саламандра" з літнім майданчиком</t>
  </si>
  <si>
    <t>житловий будинок з госп. спорудами</t>
  </si>
  <si>
    <t xml:space="preserve">будівництво та обслуговування будівель торгівлі </t>
  </si>
  <si>
    <t>будівництво магазину промислових товарів</t>
  </si>
  <si>
    <t xml:space="preserve"> обєкт торгівлі</t>
  </si>
  <si>
    <t>обєкт торгівлі (буд-во мийки самообслуговування)</t>
  </si>
  <si>
    <t>жилий будинок та господарські будівлі та споруди</t>
  </si>
  <si>
    <t>буд-во та обслуговування жилого будинку та господарських будівель і споруд</t>
  </si>
  <si>
    <t>02,01</t>
  </si>
  <si>
    <t xml:space="preserve">індивідуальний гараж </t>
  </si>
  <si>
    <t>кафе "Дніпро" (рекреація)</t>
  </si>
  <si>
    <t xml:space="preserve">існуючий літній майданчик та розширення до нього </t>
  </si>
  <si>
    <t>містечко атракціонів та літній театр (нежитлова будівля торгівельного павільйону)</t>
  </si>
  <si>
    <t>містечко атракціонів та літній театр (нежитлова будівля)</t>
  </si>
  <si>
    <t>житловий будинок та господарські споруди</t>
  </si>
  <si>
    <t>ринок будівельних матеріалів</t>
  </si>
  <si>
    <t>кафе з літнім майданчиком</t>
  </si>
  <si>
    <t>торговельний павільйон в комплексі з автобусною зупинкою</t>
  </si>
  <si>
    <t xml:space="preserve">комплекс з надання медичних послуг </t>
  </si>
  <si>
    <t>03.03</t>
  </si>
  <si>
    <t>кіоск по ремонту взуття</t>
  </si>
  <si>
    <t>будівництво будівель торгівлі</t>
  </si>
  <si>
    <t>обєкти торгівлі</t>
  </si>
  <si>
    <t>буд-во складу-магазину</t>
  </si>
  <si>
    <t>для розміщення та обслуговування кіоску по ремонту взуття</t>
  </si>
  <si>
    <t>для буд-ва та реконструкції нежитлової будівлі холодильнику під цех по переробці мясної продукції</t>
  </si>
  <si>
    <t>будівництво СТО</t>
  </si>
  <si>
    <t>автомагазин та автомийка</t>
  </si>
  <si>
    <t>виробнича база по виготовленню дерев"яних та будівельних конструкцій</t>
  </si>
  <si>
    <t>склади</t>
  </si>
  <si>
    <t>прибудова приміщення відеопрокату та ігротеки</t>
  </si>
  <si>
    <t>жилий будинок та господарські будівлі і споруди</t>
  </si>
  <si>
    <t>25,01,2023</t>
  </si>
  <si>
    <t>будівництво магазину складу</t>
  </si>
  <si>
    <t>комплекс із обслуговування автомобілів з магазином автозапчастин</t>
  </si>
  <si>
    <t>Для реконструкції нежитлових будівель під багатоквартирний житловий будинок</t>
  </si>
  <si>
    <t>магазин-кафе</t>
  </si>
  <si>
    <t>11.02.</t>
  </si>
  <si>
    <t>цех по виробництву пінобетону</t>
  </si>
  <si>
    <t>для будівництва та обслуговування будівель торгівлі</t>
  </si>
  <si>
    <t>буд-во автостоянки</t>
  </si>
  <si>
    <t>цех по виробництву та переробці металевих виробів</t>
  </si>
  <si>
    <t>02.05</t>
  </si>
  <si>
    <t xml:space="preserve"> торгівельно-офісні приміщення</t>
  </si>
  <si>
    <t xml:space="preserve"> торгівельний павільйон </t>
  </si>
  <si>
    <t>торгівельний павільйон №17</t>
  </si>
  <si>
    <t>03,01</t>
  </si>
  <si>
    <t>буд-во та обслуг. Господарчої споруди</t>
  </si>
  <si>
    <t>будівлі торгівлі</t>
  </si>
  <si>
    <t>для розміщення та обслуговування будівель та споруд по виробництву вентиляційних систем</t>
  </si>
  <si>
    <t>для розміщення зони відпочинку</t>
  </si>
  <si>
    <t>вільна від забудови (під автостоянку)</t>
  </si>
  <si>
    <t>павільйон-закусочна з літнім майданчиком</t>
  </si>
  <si>
    <t>буд-во кафе</t>
  </si>
  <si>
    <t>торгівельний  павільйон</t>
  </si>
  <si>
    <t xml:space="preserve"> будівництво автобази по обслуговуванню та ремонту автобусів та автомобілів</t>
  </si>
  <si>
    <t>буд-во та обслуг. виробничих споруд</t>
  </si>
  <si>
    <t>приватна нежитлова будівля під виробничо-складську базу</t>
  </si>
  <si>
    <t>нежитлова будівля гаражу та допоміжних споруд-диспетчерської та акумуляторної</t>
  </si>
  <si>
    <t>літній майданчик</t>
  </si>
  <si>
    <t>кафе "Цитадель"</t>
  </si>
  <si>
    <t>Реконструкція нежитлової будівлі їдальні під виробничі споруди по виготовленню дитячої іграшки</t>
  </si>
  <si>
    <t>Для реконструкції об’єкту незавершеного будівництва дитячого кафе під магазин-кафе</t>
  </si>
  <si>
    <t>будівництво та обслуговування будівель торгівлі (автостоянки)</t>
  </si>
  <si>
    <t>02.01</t>
  </si>
  <si>
    <t>буд-во торгівельно-офісного центру</t>
  </si>
  <si>
    <t>буд-во магазину</t>
  </si>
  <si>
    <t>для розширення раніше наданої земельної ділянки під торгівельний павільйон</t>
  </si>
  <si>
    <t>незавершене будівництво виробничої будівлі по обробці металевих та дерев'яних виробів</t>
  </si>
  <si>
    <t>під розширення земельної ділянки (без права капітальної забудови), житло</t>
  </si>
  <si>
    <t>кафе "Золота рибка"</t>
  </si>
  <si>
    <t>торгівельний комплекс по продажу меблів та супутніх товарів</t>
  </si>
  <si>
    <t>об"єккти торгівлі</t>
  </si>
  <si>
    <t>магазин-кулінарія та кафе</t>
  </si>
  <si>
    <t>танцклуб</t>
  </si>
  <si>
    <t>комерційний обєкт</t>
  </si>
  <si>
    <t>об"єкти спортивно-оздоровчого комплексу</t>
  </si>
  <si>
    <t>для розміщення та обслуговування магазину</t>
  </si>
  <si>
    <t>торгівельний павільйон №24,25</t>
  </si>
  <si>
    <t>буд-во та обслуговування магазину</t>
  </si>
  <si>
    <t>кафе-магазин</t>
  </si>
  <si>
    <t>квітковий павільйон</t>
  </si>
  <si>
    <t>буд-во об"єктів торгівлі (торгівельно-офісні приміщення)</t>
  </si>
  <si>
    <t>рекламна конструкція</t>
  </si>
  <si>
    <t>під реконструкцію нежитлового приміщення під адміністратинву будівлю та будівництво складу</t>
  </si>
  <si>
    <t>викуплена будівля складу-магазину</t>
  </si>
  <si>
    <t>буд-во об"єктів торгівлі та офісних приміщень</t>
  </si>
  <si>
    <t>нежитлова будівля торгівельного павільйону-магазину</t>
  </si>
  <si>
    <t>проектування та буд-во магазину, прибудованого до будівлі банку</t>
  </si>
  <si>
    <t>реконструкція існуючого підсобно-складського приміщення під господарчу будівлю з індивідуальним гаражем</t>
  </si>
  <si>
    <t>02,05</t>
  </si>
  <si>
    <t>будинок</t>
  </si>
  <si>
    <t>вул.Першотравнева (приринкова площа)</t>
  </si>
  <si>
    <t>ФОП Ільїн Дмитро Ігорович</t>
  </si>
  <si>
    <t>вул.Горького, в районі будинку №38</t>
  </si>
  <si>
    <t>вул.Горького, буд.26, кв.67</t>
  </si>
  <si>
    <t>ФОП Цисовська Юлія Антонівна</t>
  </si>
  <si>
    <t>25,02,2019</t>
  </si>
  <si>
    <t>28,02,2018</t>
  </si>
  <si>
    <t>22,03,2019</t>
  </si>
  <si>
    <t>10,02,2016</t>
  </si>
  <si>
    <t>21,12,2018</t>
  </si>
  <si>
    <t>К-сть корист.</t>
  </si>
  <si>
    <t>ФОП Бардаков Микола Петрович</t>
  </si>
  <si>
    <t>вул. Історична, буд.15, кв.8</t>
  </si>
  <si>
    <t>вул.Дружби  (в р-ні НК АТК)</t>
  </si>
  <si>
    <t>№9140051 від 23,03,2015</t>
  </si>
  <si>
    <t>2015</t>
  </si>
  <si>
    <t>№9140051</t>
  </si>
  <si>
    <t>22,01,2019</t>
  </si>
  <si>
    <t>№840/86-16 від 21.04.2016</t>
  </si>
  <si>
    <t>№11959549 від 09.11.2015</t>
  </si>
  <si>
    <t>№11959549</t>
  </si>
  <si>
    <t>29,01,2019</t>
  </si>
  <si>
    <t>№28-21-0.182-590/0/209-19 від 16.01.2019</t>
  </si>
  <si>
    <t>№25126126 від 28.02.2018</t>
  </si>
  <si>
    <t>№п/п</t>
  </si>
  <si>
    <t>гр.Хоменко Наталя Миколаївна</t>
  </si>
  <si>
    <t>вул. Першотравнева, буд.12, кв.12</t>
  </si>
  <si>
    <t>6510700000:01:017:0012</t>
  </si>
  <si>
    <t>вул. Першотрванева, в районі буд.10</t>
  </si>
  <si>
    <t>ПЗТ №14457 від 21.12.2018</t>
  </si>
  <si>
    <t>№29847593 від 10.01.2019</t>
  </si>
  <si>
    <t>Дата складання ДО</t>
  </si>
  <si>
    <t>№29847593</t>
  </si>
  <si>
    <t>10.01.2019</t>
  </si>
  <si>
    <t>№18-21-0.182/0/209-18 від 14.09.2018</t>
  </si>
  <si>
    <t>_</t>
  </si>
  <si>
    <t xml:space="preserve">для розміщення об"єктів торгівлі </t>
  </si>
  <si>
    <t>м.Херсон вул.Петренка, буд.18</t>
  </si>
  <si>
    <t>6510700000:01:001:1397</t>
  </si>
  <si>
    <t xml:space="preserve">просп.Дніпровський, в районі будівлі №44 </t>
  </si>
  <si>
    <t>ПЗТ №318/12/18  19.12.2018</t>
  </si>
  <si>
    <t>№29847399 від 10.01.2019</t>
  </si>
  <si>
    <t>19,12,2018</t>
  </si>
  <si>
    <t>19.12.2018</t>
  </si>
  <si>
    <t>№29847399</t>
  </si>
  <si>
    <t>10,01,2019</t>
  </si>
  <si>
    <t>№18-21-0.182-1330/0/209-18 від 20.09.2018</t>
  </si>
  <si>
    <t>буд-во  та обслуг. житлового будинку</t>
  </si>
  <si>
    <t>№29899112 від 14.01.2018</t>
  </si>
  <si>
    <t>буд-во та обслуг. виробничо-промислової бази</t>
  </si>
  <si>
    <t>вул.Горького, в районі буд.№7</t>
  </si>
  <si>
    <t>№6190654 від 02.07.2014</t>
  </si>
  <si>
    <t xml:space="preserve">№6190654 </t>
  </si>
  <si>
    <t>25,01,2019</t>
  </si>
  <si>
    <t>№18-21-0.182-893/0/209-19 від 18.01.2019</t>
  </si>
  <si>
    <t>буд-во та обслуговувння будівель торгівлі</t>
  </si>
  <si>
    <t>ФОП Подунай Віталій Володимирович</t>
  </si>
  <si>
    <t>№31-21-0.182-54/0/209-19 від 10.01.2019</t>
  </si>
  <si>
    <t xml:space="preserve">вул.Довженка, буд.17, кв.1 </t>
  </si>
  <si>
    <t>6510700000:11:046:0004</t>
  </si>
  <si>
    <t>перехр. вул. Затишна - Довженка</t>
  </si>
  <si>
    <t>№11467697 від 02.10.2015</t>
  </si>
  <si>
    <t>№11467697</t>
  </si>
  <si>
    <t xml:space="preserve"> 02.10.2015</t>
  </si>
  <si>
    <t>21.01.2019</t>
  </si>
  <si>
    <t>№31-21-0.182-1535/0/209-18 від 30.10.2018</t>
  </si>
  <si>
    <t>6510700000:01:001:1241</t>
  </si>
  <si>
    <t>ПЗТ №316/12/18 від 19.12.2018</t>
  </si>
  <si>
    <t>№30097945 від 28.01.2019</t>
  </si>
  <si>
    <t xml:space="preserve">№30097945 </t>
  </si>
  <si>
    <t>28.01.2019</t>
  </si>
  <si>
    <t>для буд-ва та обслуг. будівель торгівлі</t>
  </si>
  <si>
    <t>№18-21-0.182-1329/209-18 від 20.09.2018</t>
  </si>
  <si>
    <t>вул. Свєтлова, буд.2, кв.214</t>
  </si>
  <si>
    <t>6510700000:01:001:1342</t>
  </si>
  <si>
    <t>вул. Соборна, в районі буд.№53-б</t>
  </si>
  <si>
    <t>ПЗТ №317/12/18 від 19.12.2018</t>
  </si>
  <si>
    <t>№30107725 від 29.01.2019</t>
  </si>
  <si>
    <t>№30107725</t>
  </si>
  <si>
    <t xml:space="preserve"> 29.01.2019</t>
  </si>
  <si>
    <t>№18-21-0.182-1092/0/209-18 від 25.07.2018</t>
  </si>
  <si>
    <t>вул. М.Букіна, буд.8, кв.88</t>
  </si>
  <si>
    <t>№31-21-0.182-4516/0/209-19 від 31.01.2019</t>
  </si>
  <si>
    <t>вул.Історична, буд.77</t>
  </si>
  <si>
    <t>16,12,2014</t>
  </si>
  <si>
    <t xml:space="preserve">№1851 від 16.12.2014 </t>
  </si>
  <si>
    <t>ФОП Криворука Олег Миколайович</t>
  </si>
  <si>
    <t>гр. Курінний Валентин Андрійович</t>
  </si>
  <si>
    <t>вул. М.Букіна, буд.54а, кв.60</t>
  </si>
  <si>
    <t>ФОП Краснова Марія Гнатівна</t>
  </si>
  <si>
    <t>25,10,2016</t>
  </si>
  <si>
    <t>пр. Дніпровський, 57, кв. 3</t>
  </si>
  <si>
    <t xml:space="preserve">ФОП Карпенкова Олександра Василівна </t>
  </si>
  <si>
    <t>пр. Перемоги, буд.8, кв.116</t>
  </si>
  <si>
    <t>ФОП Попов Віктор Олексійович</t>
  </si>
  <si>
    <t>пр. Дніпровський, буд.3 кв.11</t>
  </si>
  <si>
    <t>ФОП Тихомирова Світлана Василівна</t>
  </si>
  <si>
    <t>м.Таврійськ пров.Ювілейний, 8</t>
  </si>
  <si>
    <t xml:space="preserve">гр. Воронюк Володимир Володимирович </t>
  </si>
  <si>
    <t>пр. Перемоги, 36, кв.10</t>
  </si>
  <si>
    <t>№1955 05,02,2015</t>
  </si>
  <si>
    <t>№9451269 від 21.04.2015</t>
  </si>
  <si>
    <t>27,03,2015</t>
  </si>
  <si>
    <t>№9451269</t>
  </si>
  <si>
    <t>21,04,2015</t>
  </si>
  <si>
    <t>індивідуальний металевий гараж</t>
  </si>
  <si>
    <t>ФОП Мар"янський Анатолій Васильович</t>
  </si>
  <si>
    <t>вул. Першотравнева, буд.10 кв.35</t>
  </si>
  <si>
    <t>№16423613 від 13.09.2016</t>
  </si>
  <si>
    <t>02,09,2016</t>
  </si>
  <si>
    <t>№16423613</t>
  </si>
  <si>
    <t>№31-21-0.182-594/209-19 16.01.2019</t>
  </si>
  <si>
    <t>№1182397 від 29.05.2013</t>
  </si>
  <si>
    <t>29,05,2013</t>
  </si>
  <si>
    <t>№1182397</t>
  </si>
  <si>
    <t xml:space="preserve"> 29.05.2013</t>
  </si>
  <si>
    <t>ФОП Сиркін Володимир Михайлович</t>
  </si>
  <si>
    <t>№16550460 від 19.09.2016</t>
  </si>
  <si>
    <t>08.09.2016</t>
  </si>
  <si>
    <t>№16550460</t>
  </si>
  <si>
    <t>№845/86-16 від 21.04.2016 (220,43)</t>
  </si>
  <si>
    <t>склад-магазин</t>
  </si>
  <si>
    <t>6510700000:01:001:0910</t>
  </si>
  <si>
    <t>№19898628 від 05.04.2017</t>
  </si>
  <si>
    <t>27.02.2017</t>
  </si>
  <si>
    <t>№19898628</t>
  </si>
  <si>
    <t xml:space="preserve"> 05.04.2017</t>
  </si>
  <si>
    <t>№31-21-0.182-8525/0/209-19 від 08.02.2019</t>
  </si>
  <si>
    <t>% орендної плати від грошової оцінки</t>
  </si>
  <si>
    <t>Розмір орендної плати за 1 м2</t>
  </si>
  <si>
    <t>Розмір щомісячної плати, грн/міс</t>
  </si>
  <si>
    <t>ПрАТ "Будівельно-монтажне управління №8"</t>
  </si>
  <si>
    <t>№28-21-0.182-7187/0/209-19 від 06.02.2019</t>
  </si>
  <si>
    <t>№20-21-0.182-1198/0/209-19 від 21.01.2019</t>
  </si>
  <si>
    <t>гр. Кармолін Марк Веніамінович</t>
  </si>
  <si>
    <t>№264/0/-209-17 від 24.10.2017</t>
  </si>
  <si>
    <t>ПЗТ 25.01.2018 №10212</t>
  </si>
  <si>
    <t>№179/0/209-17 від 07.08.2017</t>
  </si>
  <si>
    <t>Гр. Кобець Світлана Степанівна</t>
  </si>
  <si>
    <t>ПЗТ №10212 від 25.01.2018</t>
  </si>
  <si>
    <t>№63/209-17 від 06.06.2017</t>
  </si>
  <si>
    <t>ПЗТ №72/12/16 від 14,12,2016</t>
  </si>
  <si>
    <t>ПЗТ від 14.07.2017 №8247</t>
  </si>
  <si>
    <t>ПЗТ 08.09.2016 №5524</t>
  </si>
  <si>
    <t>вул. Андріївська (Калініна), буд.39</t>
  </si>
  <si>
    <t xml:space="preserve">ФОП Стародубець Олександр Валентинович </t>
  </si>
  <si>
    <t>пр. Перемоги, 13/322</t>
  </si>
  <si>
    <t>ПЗТ №91/03/17 ід 01.03.2017</t>
  </si>
  <si>
    <t>№1188/86-16 від 25.10.2016  689,22</t>
  </si>
  <si>
    <t>м.Таврійськ вул. Г.Сталінграду, 19/3</t>
  </si>
  <si>
    <t>ПЗТ№128/06/17 від 30.06.2017</t>
  </si>
  <si>
    <t>ПЗТ №8784 15.09.2017</t>
  </si>
  <si>
    <t>ПЗТ №8784 від 15.09.2017</t>
  </si>
  <si>
    <t>вул. Французька (П.Комуни), 7/60</t>
  </si>
  <si>
    <t>ТОВ "Південь енерджи"</t>
  </si>
  <si>
    <t>м.Каховка вул. Мелітопольська, буд.164, оф.9, буд.130 кв.18</t>
  </si>
  <si>
    <t>№9971 від 22.08.2016</t>
  </si>
  <si>
    <t>№16224373 від 30.08.2016</t>
  </si>
  <si>
    <t>22,08,2016</t>
  </si>
  <si>
    <t xml:space="preserve">№16224373 </t>
  </si>
  <si>
    <t>№863/86-16 від 06.05.2016 (251699,59грн)</t>
  </si>
  <si>
    <t>№17509023 від 16.11.2016</t>
  </si>
  <si>
    <t>27,10,2016</t>
  </si>
  <si>
    <t>№17509023</t>
  </si>
  <si>
    <t>ФОП Кислицин Олександр Анатолійович</t>
  </si>
  <si>
    <t>т.0997531639</t>
  </si>
  <si>
    <t>вул.Французька, згідно з генпланом 2--ї черги мікрорайону №1</t>
  </si>
  <si>
    <t>№31-21-0.182-1568/0/209-18 від 05.11.2018</t>
  </si>
  <si>
    <t>20,12,2018</t>
  </si>
  <si>
    <t>буд-во магазину на І поверсі та житлова квартира на ІІ поверсі</t>
  </si>
  <si>
    <t>Ільїна Т.А.</t>
  </si>
  <si>
    <t>15,02,2019</t>
  </si>
  <si>
    <t>гр. Красницька Світлана Станіславівна</t>
  </si>
  <si>
    <t>вул. М.Букіна, буд.36, кв.109</t>
  </si>
  <si>
    <t>6510700000:01:006:0009</t>
  </si>
  <si>
    <t>пр. Дніпровський, 30-а</t>
  </si>
  <si>
    <t>№1702 від 20.12.2018</t>
  </si>
  <si>
    <t>№30190149 від 04.02.2019</t>
  </si>
  <si>
    <t>23.01.2019</t>
  </si>
  <si>
    <t>№30190149</t>
  </si>
  <si>
    <t>04,02,2019</t>
  </si>
  <si>
    <t>№31-21-0.182-190/0/209-19 від 14,01,2019</t>
  </si>
  <si>
    <t>існуюче кафе та обладнання літнього майданчику</t>
  </si>
  <si>
    <t>вул. Горького, буд. 34-а, кв.35</t>
  </si>
  <si>
    <t>№1507 від 24.02.2014 року</t>
  </si>
  <si>
    <t>17,09,2018</t>
  </si>
  <si>
    <t xml:space="preserve">№156/0/209-17 від  17.07.2017 </t>
  </si>
  <si>
    <t>т.0954097102 Юрій</t>
  </si>
  <si>
    <t>ФОП Скурська Людмила Василівна</t>
  </si>
  <si>
    <t>вул. Соборна, буд.59, кв.2</t>
  </si>
  <si>
    <t>№18349958 від 22.12.2016</t>
  </si>
  <si>
    <t>25.12.2013</t>
  </si>
  <si>
    <t xml:space="preserve">№18349958 </t>
  </si>
  <si>
    <t>№31-21-0.182-10304/0/209-19 від 13.02.2019</t>
  </si>
  <si>
    <t>м.Нова Каховка вул. Довженко, буд.25, кв.33</t>
  </si>
  <si>
    <t>ФОП Прохоренко Юлія Сергіївна</t>
  </si>
  <si>
    <t>№1322 від 31.10.2013</t>
  </si>
  <si>
    <t>1№1851 від 16.12.2014</t>
  </si>
  <si>
    <t>№13374699 від 17.02.2016</t>
  </si>
  <si>
    <t>№13374699</t>
  </si>
  <si>
    <t>№28-21-0.182-7276/0/209-19 від 06.02.2019</t>
  </si>
  <si>
    <t>ПП "Золота рибка"</t>
  </si>
  <si>
    <t>пр. Дніпровський, 40-а</t>
  </si>
  <si>
    <t>м. Нова Каховка пр. Дніпровський, 40-а</t>
  </si>
  <si>
    <t>6510700000:05:010:0014</t>
  </si>
  <si>
    <t xml:space="preserve">ПЗТ 27.12.2018 №331/12/18 </t>
  </si>
  <si>
    <t>№30366342 від 15.02.2019</t>
  </si>
  <si>
    <t>27,12,2018</t>
  </si>
  <si>
    <t xml:space="preserve">№30366342 </t>
  </si>
  <si>
    <t>№18-21-0.182-1276/0/209-18 від 12.09.2018</t>
  </si>
  <si>
    <t>гр. Хохлова Людмила Вікторівна</t>
  </si>
  <si>
    <t xml:space="preserve">вул. М.Букіна, буд. 56, кв.25 </t>
  </si>
  <si>
    <t xml:space="preserve">№215 від 25.02.2016 </t>
  </si>
  <si>
    <t>31.03.2016</t>
  </si>
  <si>
    <t>№14002189 від 31.03.2016</t>
  </si>
  <si>
    <t>№14002189</t>
  </si>
  <si>
    <t xml:space="preserve"> 31.03.2016</t>
  </si>
  <si>
    <t>№31-21-0.182-10647/0/209-19 від 15.02.2019</t>
  </si>
  <si>
    <t xml:space="preserve">для буд-ва та обслуговування металевого гаражу </t>
  </si>
  <si>
    <t>Хохлова</t>
  </si>
  <si>
    <t>м. Таврійськ вул. Чкалова,75</t>
  </si>
  <si>
    <t>ФОП Данилюк Олена Михайлівна</t>
  </si>
  <si>
    <t>вул.Г.України, буд.61</t>
  </si>
  <si>
    <t>№31-21-0.182-10410/0/209-19 від 13.02.2019</t>
  </si>
  <si>
    <t>вул.Заводська (р-н маг."Меблі")</t>
  </si>
  <si>
    <t>№58 від 10.12.2015</t>
  </si>
  <si>
    <t>№13372260 від 17.02.2016</t>
  </si>
  <si>
    <t>04.02.2016</t>
  </si>
  <si>
    <t>17,02,2016</t>
  </si>
  <si>
    <t>№13372260</t>
  </si>
  <si>
    <t>№31-21-0.182-10638/0/209-19 від 15.02.2019</t>
  </si>
  <si>
    <t>№31-21-0.182-10640/0/209-19 від 15.02.2019</t>
  </si>
  <si>
    <t>ФОП Сібікіна Людмила Олександрівна</t>
  </si>
  <si>
    <t>вул. Затишна, буд.36, кв.46</t>
  </si>
  <si>
    <t>на перехр.вул.Горького в районі будинку  №34</t>
  </si>
  <si>
    <t>№5941721 від 07.06.2014</t>
  </si>
  <si>
    <t>№5941721</t>
  </si>
  <si>
    <t>07,06,2014</t>
  </si>
  <si>
    <t>№31-21-0.182-10670/0/209-19 від 19.02.2019</t>
  </si>
  <si>
    <t>0955484780</t>
  </si>
  <si>
    <t>01,03,2019</t>
  </si>
  <si>
    <t>10.12.2015 №58</t>
  </si>
  <si>
    <t xml:space="preserve">№13503199 від 25.02.2016 </t>
  </si>
  <si>
    <t>№13503199</t>
  </si>
  <si>
    <t>№18-21-0.182-1352/0/209-19 від 22.01.2019</t>
  </si>
  <si>
    <t>пр.Перемоги,18 в районі торгівельного центру</t>
  </si>
  <si>
    <t>Розмір орендної плати відповідно до ПЗТ (аукціону)</t>
  </si>
  <si>
    <t>ПЗТ №1 від 08.10.2014</t>
  </si>
  <si>
    <t>ПЗТ від 23.10.2015</t>
  </si>
  <si>
    <t>буд-во торгово-офісного приміщення</t>
  </si>
  <si>
    <t xml:space="preserve">ПЗТ №3884  23.12.2015 </t>
  </si>
  <si>
    <t>Гр. Колесник Дмитро Сергійович</t>
  </si>
  <si>
    <t>№34-28-0.7-1085/2-15 від 24.07.2015 (43176,75)</t>
  </si>
  <si>
    <t xml:space="preserve">Гр. Шушлебіна Валентина Олексіївна </t>
  </si>
  <si>
    <t>с.Плодове вул.Краснознаменська, буд.104</t>
  </si>
  <si>
    <t>ПЗТ №03/04/16 від 28.04.2016</t>
  </si>
  <si>
    <t>ПЗТ №4096 від 26.01.2016</t>
  </si>
  <si>
    <t>2016 (703471,61)</t>
  </si>
  <si>
    <t>Гр. Демченко Олександр Васильович</t>
  </si>
  <si>
    <t>вул. Історична (Леніна), буд.22-а</t>
  </si>
  <si>
    <t>ПЗТ №5092 від 07.07.2016</t>
  </si>
  <si>
    <t>86083,20 (2016)</t>
  </si>
  <si>
    <t>74150,77 (29,460%)</t>
  </si>
  <si>
    <t>22,02,2019</t>
  </si>
  <si>
    <t>42560,89 (10,450%)</t>
  </si>
  <si>
    <t>Гр. Фісінчук Євген Сергійович</t>
  </si>
  <si>
    <t>вул.Заводська, в районі автовокзалу</t>
  </si>
  <si>
    <t>ПЗТ №27,10.2016 від 27.10.2016</t>
  </si>
  <si>
    <t>7106,65 (10,850%)</t>
  </si>
  <si>
    <t>6510700000:01:001:0766</t>
  </si>
  <si>
    <t>ПЗТ №41/10/16 від 27.10.2016</t>
  </si>
  <si>
    <t>67636,80 (2016)</t>
  </si>
  <si>
    <t>8060,63 (11,918%)</t>
  </si>
  <si>
    <t>ПЗТ №39/10/16 від 27.10.2016</t>
  </si>
  <si>
    <t>2306,42 (12,861%)</t>
  </si>
  <si>
    <t>Гр. Рашкевич Олена Станіславівна</t>
  </si>
  <si>
    <t>6014,49 (16,560%)</t>
  </si>
  <si>
    <t>до 09.11.2020</t>
  </si>
  <si>
    <t>вул.Торгова, в районі буд., 1-п</t>
  </si>
  <si>
    <t>16059,52 (5,83%)</t>
  </si>
  <si>
    <t>ФОП Ковалевська Наталія Анатоліївна</t>
  </si>
  <si>
    <t>вул.Світлова, в районі буд.10</t>
  </si>
  <si>
    <t xml:space="preserve"> №4402198 </t>
  </si>
  <si>
    <t>01.03.2019 (№15-19-фо)</t>
  </si>
  <si>
    <t>№31-21-0.182-9988/0/209-19 від 20.12.2018</t>
  </si>
  <si>
    <t>вул. Горького, 38-з</t>
  </si>
  <si>
    <t>№1808 від 07.02.2019</t>
  </si>
  <si>
    <t>№30534131 від 27.02.2019</t>
  </si>
  <si>
    <t>19.02.2019</t>
  </si>
  <si>
    <t>№30534131</t>
  </si>
  <si>
    <t>27,02,2019</t>
  </si>
  <si>
    <t>№31-21-0.182-10669/0/209-19 від 18.02.2019</t>
  </si>
  <si>
    <t>об"єкти торгівлі (магазин)</t>
  </si>
  <si>
    <t>6510700000:01:001:1419</t>
  </si>
  <si>
    <t>№1712 від 20.12.2018</t>
  </si>
  <si>
    <t>№30580248 від 01.03.2019</t>
  </si>
  <si>
    <t>№30580248</t>
  </si>
  <si>
    <t>№28-21-0.182-595/0/209-19 від 16.01.2019</t>
  </si>
  <si>
    <t>6510700000:01:001:1421</t>
  </si>
  <si>
    <t>№30581157 від 01.03.2019</t>
  </si>
  <si>
    <t>25.01.2019</t>
  </si>
  <si>
    <t xml:space="preserve">№30581157 </t>
  </si>
  <si>
    <t>№28-21-0.182-600/0/209-19 від 16.01.2019</t>
  </si>
  <si>
    <t/>
  </si>
  <si>
    <t/>
  </si>
  <si>
    <t/>
  </si>
  <si>
    <t>6510700000:01:001:1420</t>
  </si>
  <si>
    <t>№30580469 від 01.03.2019</t>
  </si>
  <si>
    <t xml:space="preserve">№30580469 </t>
  </si>
  <si>
    <t>№28-21-0.182-597/0/209-19 від 16.01.2019</t>
  </si>
  <si>
    <t>6510700000:01:001:1434</t>
  </si>
  <si>
    <t>вул. Першотравнева (між кінотеатром "Юність" та будівлею ПАТ "Укртелеком")</t>
  </si>
  <si>
    <t>№1618 від 07.12.2018</t>
  </si>
  <si>
    <t>№30519179 від 26.02.2019</t>
  </si>
  <si>
    <t>09.01.2019</t>
  </si>
  <si>
    <t>№30519179</t>
  </si>
  <si>
    <t>№28-21-0.182-46/0/209-19 від 04.01.2019</t>
  </si>
  <si>
    <t>для будівництва об"єкту енергетичної інфраструктури - КЛ-0.4кВ від додаткового комутаційного апарату, встановленого в РП-04КВ  ЗТП-6/0,4кВ №31 та РП-0.4Кв ЗТП -6/0,4 кВ №63</t>
  </si>
  <si>
    <t>14,02</t>
  </si>
  <si>
    <t>№31-21-0.182-2000/0/209-18 від 28.12.2018</t>
  </si>
  <si>
    <t>м.Одеса, вул.Маршала Говорова, буд.18, кв.149</t>
  </si>
  <si>
    <t>ФОП Васильковська Олена Леонідівна</t>
  </si>
  <si>
    <t xml:space="preserve"> №2295 від 20.10.2015</t>
  </si>
  <si>
    <t>№12177807 від 23.11.2015</t>
  </si>
  <si>
    <t>№12177807</t>
  </si>
  <si>
    <t>№31-21-0.182-10686/0/209-19 від 20.02.2019</t>
  </si>
  <si>
    <t>нежитлова будівля спортивної зали під облаштування фітнес-клубу</t>
  </si>
  <si>
    <t xml:space="preserve"> 14,12,2015</t>
  </si>
  <si>
    <t>ФОП Волик Євген Олександрович</t>
  </si>
  <si>
    <t>№30689899 від 11.03.2019</t>
  </si>
  <si>
    <t>20.02.2019</t>
  </si>
  <si>
    <t>№30689899</t>
  </si>
  <si>
    <t>№31-21-0.182-10680/0/209-19 від 20.02.2019</t>
  </si>
  <si>
    <t>6510700000:01:001:1422</t>
  </si>
  <si>
    <t>вул. Ріхарда Зорге</t>
  </si>
  <si>
    <t>№30678321 від 11.03.2019</t>
  </si>
  <si>
    <t>№30678321</t>
  </si>
  <si>
    <t>№28-21-0.182-47/0/209-18 від 04.01.2019</t>
  </si>
  <si>
    <t>Для будівництва об"єкту енергетичної інфраструктури - ЛЕП-0,4кВ комірка №1 ІІ с.ш. ЗТП-10/0,4кВ №98 для забезпечення приєднання електроустановок в рамках договору про приєднання №1039653/50962 укладеного з Християнською церквою повного Євангелія "Слово віри"</t>
  </si>
  <si>
    <t>ТОВ "КБМП "Демос"</t>
  </si>
  <si>
    <t>вул. Промислова, 1</t>
  </si>
  <si>
    <t>6510700000:01:001:0617</t>
  </si>
  <si>
    <t>№1746 від 17.01.2019</t>
  </si>
  <si>
    <t>№30467780 від 22.02.2019</t>
  </si>
  <si>
    <t>№30467780</t>
  </si>
  <si>
    <t>№28-21-0.182-4508/0/209-19 від 31.01.2019</t>
  </si>
  <si>
    <t>т. 0503965648; 0951229139;</t>
  </si>
  <si>
    <t>07,03,2019</t>
  </si>
  <si>
    <t>ФОП Кобець Олексій Олексійович</t>
  </si>
  <si>
    <t>6510700000:03:013:0088</t>
  </si>
  <si>
    <t>вул. Торгова, 6</t>
  </si>
  <si>
    <t>№30690108 від 11.03.2019</t>
  </si>
  <si>
    <t>28,02,2019</t>
  </si>
  <si>
    <t xml:space="preserve">№30690108 </t>
  </si>
  <si>
    <t>11,03,2019</t>
  </si>
  <si>
    <t>№31-21-0.182-217/0/209-19 від 15.01.2019</t>
  </si>
  <si>
    <t>будівництво та розміщення офісу</t>
  </si>
  <si>
    <t>0503199999 Олексій Ол-вич; 0667800042 Светлана</t>
  </si>
  <si>
    <t>№309/0/209-18 05.02.2018</t>
  </si>
  <si>
    <t>№300/0/209-18 від  05.02.2018</t>
  </si>
  <si>
    <t>№304/0/209-18  05.02.2018</t>
  </si>
  <si>
    <t>№308/0/209-18 від  05.02.2018</t>
  </si>
  <si>
    <t>№306/0/209-18 05.02.2018</t>
  </si>
  <si>
    <t>№307/0/209-18 від  05.02.2018</t>
  </si>
  <si>
    <t>№301/0/209-18 від  05.02.2018</t>
  </si>
  <si>
    <t>№310/0/209-18  від 05.02.2018</t>
  </si>
  <si>
    <t>№302/0/209-18 05.02.2018</t>
  </si>
  <si>
    <t>№303/0/209-18 від  05.02.2018</t>
  </si>
  <si>
    <t>651070000:02:011:0030</t>
  </si>
  <si>
    <t>№447 від 21.06.2017</t>
  </si>
  <si>
    <t>12.07.2007</t>
  </si>
  <si>
    <t>№040773200103 від 17.08.2007</t>
  </si>
  <si>
    <t>№040773200103</t>
  </si>
  <si>
    <t>17,08,2007</t>
  </si>
  <si>
    <t>№561 від 10.11.2016</t>
  </si>
  <si>
    <t>13,12,2016</t>
  </si>
  <si>
    <t>ФОП Шилко Олександр Іванович</t>
  </si>
  <si>
    <t>28.02.2018; 22,03,2019</t>
  </si>
  <si>
    <t>ТОВ "Влада ІНК"</t>
  </si>
  <si>
    <t>м.Херсон, вул.Рішельєвська, буд.9</t>
  </si>
  <si>
    <t>6510700000:01:001:1454</t>
  </si>
  <si>
    <t>вул. Гагаріна, в районі будівлі №6/1</t>
  </si>
  <si>
    <t>№1738 від 17.01.2019</t>
  </si>
  <si>
    <t>№30880552 від 22.03.2019</t>
  </si>
  <si>
    <t>11,03,2019 №27-19-юо</t>
  </si>
  <si>
    <t>№30880552</t>
  </si>
  <si>
    <t>№28-21-0.182-10800/0/209-19 від 27.02.2019</t>
  </si>
  <si>
    <t xml:space="preserve">будівництво об"єктів інженерної інфраструктури </t>
  </si>
  <si>
    <t>ФОП Абрамян Зоя Михайлівна</t>
  </si>
  <si>
    <t>пр.Дніпровський, 47/8</t>
  </si>
  <si>
    <t>№940 від 28.11.2008</t>
  </si>
  <si>
    <t>№14976485 від 09.06.2016</t>
  </si>
  <si>
    <t>22,01,2009</t>
  </si>
  <si>
    <t xml:space="preserve">№14976485 </t>
  </si>
  <si>
    <t>(16,02,2009 р.с. 28.11.2008 №940); (07,07,2011 р.с. 04.06.2010 №1561); 09,06,2016 (р.с.№1745 від 16.09.2014)</t>
  </si>
  <si>
    <t>смт. Дніпряни, вул. Шевченко, буд.90</t>
  </si>
  <si>
    <t>№31-21-0.182-1740/0/209-18 від 04.12.2018</t>
  </si>
  <si>
    <t>0505343211</t>
  </si>
  <si>
    <t>ФОП Перетятько Віталій Валерійович та  Перетятько Володимир Валерійович</t>
  </si>
  <si>
    <t>вул. Соборна, буд.29, кв.39; вул. Соборна, буд.51, кв.2</t>
  </si>
  <si>
    <t>вул. Новокаховське  шосе, 12-б</t>
  </si>
  <si>
    <t>24.09.2013 №1281</t>
  </si>
  <si>
    <t>01.11.2013</t>
  </si>
  <si>
    <t>№3562763</t>
  </si>
  <si>
    <t>26,11,2013</t>
  </si>
  <si>
    <t>12,04</t>
  </si>
  <si>
    <t xml:space="preserve"> 23,04,2018 №625 від 15.12.2016 (Р.С. 07.02.2018 - 25,03,2019)</t>
  </si>
  <si>
    <t>№32-21-0.182-10673/0/209-19 від 19.02.2019</t>
  </si>
  <si>
    <t>вул.Букіна, 1-а</t>
  </si>
  <si>
    <t>23,04,2018 (Р.с. 07.02.2019 - 25,03,2019)</t>
  </si>
  <si>
    <t>№32-21-0.182-10672/0/209-19 від 19.02.2019</t>
  </si>
  <si>
    <t>75224, Чаплинський р-н, с.Долинське вул.Робітнича, буд.4</t>
  </si>
  <si>
    <t>6510700000:01:001:1450</t>
  </si>
  <si>
    <t>перехр. вул.Французька-вул.Новокаховське шосе</t>
  </si>
  <si>
    <t>ПЗТ №333/03/19 від 22.03.2019</t>
  </si>
  <si>
    <t xml:space="preserve">№30987740 від 29.03.2019 </t>
  </si>
  <si>
    <t>№30987740</t>
  </si>
  <si>
    <t xml:space="preserve"> 29.03.2019 </t>
  </si>
  <si>
    <t>№18-21-0.182-1908/0/209-18 від 17.12.2018</t>
  </si>
  <si>
    <t xml:space="preserve"> 2709501932; 3049327910</t>
  </si>
  <si>
    <t xml:space="preserve"> ФОП Горін Володимир Миколайович та  Яковенко Валерій Геннадійович </t>
  </si>
  <si>
    <t xml:space="preserve"> м.Каховка вул.Лугова, буд.41; вул. Соборна, буд.22, кв.42 </t>
  </si>
  <si>
    <t>вул.Французька, в р-ні буд.15, згідно з генпланом  забудови 2-ї черги мікрорайону №1</t>
  </si>
  <si>
    <t>№31069719 від 04.04.2019</t>
  </si>
  <si>
    <t xml:space="preserve">№31069719 </t>
  </si>
  <si>
    <t>04,04,2019</t>
  </si>
  <si>
    <t>№31-21-0.182-10635/0/209-18 від 15.02.2019</t>
  </si>
  <si>
    <t xml:space="preserve">будівництво кафе зблокованого з житловим будинком </t>
  </si>
  <si>
    <t/>
  </si>
  <si>
    <t>ФОП Масленнікова Олена Володимирівна</t>
  </si>
  <si>
    <t>вул. Свєтлова, буд.7, кв.13</t>
  </si>
  <si>
    <t>6510700000:11:046:0039</t>
  </si>
  <si>
    <t>№5990153 від 12.06.2014</t>
  </si>
  <si>
    <t>№5990153</t>
  </si>
  <si>
    <t xml:space="preserve"> 12.06.2014</t>
  </si>
  <si>
    <t>28,11,2016 (Р.С.21.07.2016 №374)</t>
  </si>
  <si>
    <t>№31-21-0.182-11020/0/209-19 від 22.03.2019</t>
  </si>
  <si>
    <t>гр.Гудков Ігор Олександрович</t>
  </si>
  <si>
    <t xml:space="preserve">м. Нова Каховка вул. Дружби, буд.70 </t>
  </si>
  <si>
    <t>КОД ЄДРПОУ</t>
  </si>
  <si>
    <t>6510700000:01:001:1236</t>
  </si>
  <si>
    <t>вул. Миколи Букіна, в районі буд.№52</t>
  </si>
  <si>
    <t>ПЗТ №336/04/19 від 05.04.2019</t>
  </si>
  <si>
    <t>№31210643 від 12.04.2019</t>
  </si>
  <si>
    <t>05.04.2019</t>
  </si>
  <si>
    <t>№31210643</t>
  </si>
  <si>
    <t>№68/0/209-18 від 22.01.2018</t>
  </si>
  <si>
    <t xml:space="preserve">платна автостоянка </t>
  </si>
  <si>
    <t xml:space="preserve">ПП "ТОРІ" </t>
  </si>
  <si>
    <t>74988, м.Таврійськ, вул.Привокзальна, буд.1</t>
  </si>
  <si>
    <t>6510700000:01:001:1449</t>
  </si>
  <si>
    <t>вул.Затишна, в районі буд.№29</t>
  </si>
  <si>
    <t>ПЗТ 05.04.2019 №338/04/19</t>
  </si>
  <si>
    <t>№31202373 від 11.04.2019</t>
  </si>
  <si>
    <t>05,04,2019</t>
  </si>
  <si>
    <t xml:space="preserve">№31202373 </t>
  </si>
  <si>
    <t>№18-21-0.182-1906/0/209-18 від 17.12.2018</t>
  </si>
  <si>
    <t>6510700000:01:001:1424</t>
  </si>
  <si>
    <t>між будинками №49 по вул.Дружби та №70 по вул.М.Букіна</t>
  </si>
  <si>
    <t>ПЗТ 05.04.2019 №337/04/19</t>
  </si>
  <si>
    <t>№31201900 від 11.04.2019</t>
  </si>
  <si>
    <t>№31201900</t>
  </si>
  <si>
    <t>№18-21-0.182-2006/0/209-18 від 28.12.2018</t>
  </si>
  <si>
    <t>Гр. Петров Андруш Павлович</t>
  </si>
  <si>
    <t>вул.Новокаховська шосе, в районі АЗС (вул.Французька, 33)</t>
  </si>
  <si>
    <t>№1889 від 28.03.2019</t>
  </si>
  <si>
    <t>№31384427 від 24.04.2019</t>
  </si>
  <si>
    <t>№31384427</t>
  </si>
  <si>
    <t xml:space="preserve"> 24.04.2019</t>
  </si>
  <si>
    <t>№731-21-0.182-11088/0/209-19 від 05.04.2019</t>
  </si>
  <si>
    <t>об"єкти дорожнього сервісу</t>
  </si>
  <si>
    <t>ФОП Подуст Валентин Іванович</t>
  </si>
  <si>
    <t>№31-21-0.182-11115/0209-19 від 16.04.2019</t>
  </si>
  <si>
    <t>вул.Першотравнева, буд.10, кв.38</t>
  </si>
  <si>
    <t>№639 від 29.03.2012</t>
  </si>
  <si>
    <t>№14889754 від 03.06.2016</t>
  </si>
  <si>
    <t>№14889754</t>
  </si>
  <si>
    <t>02,05,2019</t>
  </si>
  <si>
    <t>651070000:01:001:1384</t>
  </si>
  <si>
    <t>вул. Першотравнева, 35-ж</t>
  </si>
  <si>
    <t>ПЗТ №340/04/19 від 26.04.2019</t>
  </si>
  <si>
    <t>№31452355 від 03.05.2019</t>
  </si>
  <si>
    <t>26,04,2019</t>
  </si>
  <si>
    <t>№31452355</t>
  </si>
  <si>
    <t>03,05,2019</t>
  </si>
  <si>
    <t>№18-21-0.182-1585/0/209-18 від 09.11.2018</t>
  </si>
  <si>
    <t>виробничі будівлі</t>
  </si>
  <si>
    <t>№2568830 від 19.09.2013</t>
  </si>
  <si>
    <t>вул.Першотравнева, 1/19</t>
  </si>
  <si>
    <t>№2568830</t>
  </si>
  <si>
    <t>вул. Гідробудівників, буд.117</t>
  </si>
  <si>
    <t>2513103593</t>
  </si>
  <si>
    <t>6510700000:03:014:0063</t>
  </si>
  <si>
    <t>вул. Французька (П.Комуни), в районі автосалону "ВЕВСО"</t>
  </si>
  <si>
    <t>ПЗТ №341/04/19 від 26.04.2019</t>
  </si>
  <si>
    <t>№31562592</t>
  </si>
  <si>
    <t>№31562592 від 13.05.2019</t>
  </si>
  <si>
    <t>26.04.2019</t>
  </si>
  <si>
    <t>13,05,2019</t>
  </si>
  <si>
    <t>№18-21-0.182-1686/0/209-18 від 23.11.2018</t>
  </si>
  <si>
    <t>Для будівництва та обслуговування будівель торгівлі</t>
  </si>
  <si>
    <t>№814 від 18.09.2012</t>
  </si>
  <si>
    <t xml:space="preserve">№1636657 </t>
  </si>
  <si>
    <t>22.09.2017; (15,05,2019-Р.С.№1889 від 28.03.2019)</t>
  </si>
  <si>
    <t>№31-21-0.182-11113/0/209-19 від 12.04.2019</t>
  </si>
  <si>
    <t>№31-21-0.182-11209/0/209-19 від 16.05.2019</t>
  </si>
  <si>
    <t>гр. Корчина Галина Петрівна</t>
  </si>
  <si>
    <t>м.Нова Каховка вул.Історична, буд.17, кв.9</t>
  </si>
  <si>
    <t>№1695 від 07.08.2014</t>
  </si>
  <si>
    <t>04.09.2014</t>
  </si>
  <si>
    <t>№31-21-0.182-11070/0/209-19 від 29.03.2019</t>
  </si>
  <si>
    <t>№31-21-0.182-3706/0/209-19 від 30.01.2019</t>
  </si>
  <si>
    <t>№6116727 від 24,06,2014</t>
  </si>
  <si>
    <t>№6116727</t>
  </si>
  <si>
    <t>ФОП Аржанов Олександр Анатолійович</t>
  </si>
  <si>
    <t>17,05,2019, Р.С -28.03.2019 №1889</t>
  </si>
  <si>
    <t>№31-21-0.182-11103/0/209-19 від 11.04.2019</t>
  </si>
  <si>
    <t>гр. Гаращук  Валерій Васильович 2020907856 та Суінова Тетяна Володимирівна 2221302980</t>
  </si>
  <si>
    <t xml:space="preserve"> вул. Соснова, буд.10-Е</t>
  </si>
  <si>
    <t>2020907856;  2221302980</t>
  </si>
  <si>
    <t>6510700000:01:001:1453</t>
  </si>
  <si>
    <t xml:space="preserve"> вул. Соснова, буд.10-е</t>
  </si>
  <si>
    <t>№1861 від 28.03.2019</t>
  </si>
  <si>
    <t>№31677599 від 20.05.2019</t>
  </si>
  <si>
    <t>№31677599</t>
  </si>
  <si>
    <t>№31-21-0.182-11151/0/209-19 від 25.04.2019</t>
  </si>
  <si>
    <t>житловий будинок, господарські будівлі та споруди</t>
  </si>
  <si>
    <t>Козинець О.П.</t>
  </si>
  <si>
    <t>№31-21-0.182-11214/0/209-19 від 21.05.2019</t>
  </si>
  <si>
    <t>вул.Французька, згідно з генпланом 2-ї черги забудови</t>
  </si>
  <si>
    <t>вул.Історична, 37-г</t>
  </si>
  <si>
    <t xml:space="preserve">вул.Першотравнева, 1/1 </t>
  </si>
  <si>
    <t>27.06.2014 №1654</t>
  </si>
  <si>
    <t>№32-21-0/182-11235/0/209-19 від 28.05.2019</t>
  </si>
  <si>
    <t>м.Київ, б-р Шевченка, буд.18 м.Київ, Хрещатик,, буд.22</t>
  </si>
  <si>
    <t>21560766             21560045</t>
  </si>
  <si>
    <t>№32-21-0/182-11236/0/209-19 від 28.05.2019</t>
  </si>
  <si>
    <t>№28-21-0.182-11265/0/209-19 від 07.06.2019</t>
  </si>
  <si>
    <t>№31-21-0.182-11264/0/209-19 від 07.06.2019</t>
  </si>
  <si>
    <t>№31-21-0.182-11266/0/209-19 від 07.06.2019</t>
  </si>
  <si>
    <t>пр. Перемоги, буд.20, кв.61</t>
  </si>
  <si>
    <t>просп.Перемоги, в районі будинку №24</t>
  </si>
  <si>
    <t>№1744 від 16.09.2014</t>
  </si>
  <si>
    <t>08.10.2014</t>
  </si>
  <si>
    <t>гр. Чечуліна Тетяна Вікторівна (мати дитини-інваліда)</t>
  </si>
  <si>
    <t>№7277216  від 08.10.2014</t>
  </si>
  <si>
    <t>№7277216</t>
  </si>
  <si>
    <t>ФОП Карпова Олена Анатоліївна</t>
  </si>
  <si>
    <t>№7340248 від 15.10.2014</t>
  </si>
  <si>
    <t>№7340248</t>
  </si>
  <si>
    <t>ФОП Жолубак Олеся Юріївна</t>
  </si>
  <si>
    <t>02.08.2012</t>
  </si>
  <si>
    <t>№651070004000243 від 10.09.2012</t>
  </si>
  <si>
    <t>№644 від 29.03.2012</t>
  </si>
  <si>
    <t>№651070004000243</t>
  </si>
  <si>
    <t>ФОП Сироватка Світлана Олександрівна</t>
  </si>
  <si>
    <t>ФОП Сєрєдіна Ірина Олексіївна</t>
  </si>
  <si>
    <t>витяг №6969247 від 11.09.2014</t>
  </si>
  <si>
    <t>№6969247</t>
  </si>
  <si>
    <t>03.06.2019, Р.С.№2005 від 16.05.2019</t>
  </si>
  <si>
    <t xml:space="preserve"> 16.05.2024</t>
  </si>
  <si>
    <t>ФО Романкіна Олена Іванівна</t>
  </si>
  <si>
    <t>вул. Соборна (Щорса), буд.61, кв.60</t>
  </si>
  <si>
    <t>6510700000:01:001:1464</t>
  </si>
  <si>
    <t>вул. Торгова, в районі Колегії адвокатів</t>
  </si>
  <si>
    <t>ПЗТ №3/05/19 від 29.05.2019</t>
  </si>
  <si>
    <t>№31959117 від 07.06.2019</t>
  </si>
  <si>
    <t>29.05.2019</t>
  </si>
  <si>
    <t xml:space="preserve">№31959117 </t>
  </si>
  <si>
    <t xml:space="preserve"> 07.06.2019</t>
  </si>
  <si>
    <t>№18-21-0.182-10968/0/209-19 від 13.03.2019</t>
  </si>
  <si>
    <t>ФОП Мелконян Генрі Месникович</t>
  </si>
  <si>
    <t>№28-21-0.182-2915/0/209-19 від 29.01.2019</t>
  </si>
  <si>
    <t>№28-21-0.182-1864/0/209-19 від 25.01.2019</t>
  </si>
  <si>
    <t>пр. Дніпровський, 28-а</t>
  </si>
  <si>
    <t>№9032440 від 11.03.2015</t>
  </si>
  <si>
    <t xml:space="preserve">№9032440 </t>
  </si>
  <si>
    <t>ФО Сєров Валерій Анатолійович</t>
  </si>
  <si>
    <t>вул. Історична (Леніна), буд.84-а</t>
  </si>
  <si>
    <t>6510700000:01:001:1423</t>
  </si>
  <si>
    <t>вул. Заводська, в районі буд. №16</t>
  </si>
  <si>
    <t>ПЗТ №2/05/19 від 29.05.2019</t>
  </si>
  <si>
    <t>№31994063 від 10.06.2019</t>
  </si>
  <si>
    <t>№31994063</t>
  </si>
  <si>
    <t>№18-21-0.182-1587/0/209-18 від 09.11.2018</t>
  </si>
  <si>
    <t>ПП "ТРИЕЛ"</t>
  </si>
  <si>
    <t>вул. Дружби, 17</t>
  </si>
  <si>
    <t>6510700000:01:001:1510</t>
  </si>
  <si>
    <t>в південній частині міста в районі Новокаховського шосе</t>
  </si>
  <si>
    <t>ПЗТ №4/05/19 від 31.05.2019</t>
  </si>
  <si>
    <t>№32001770 від 11.06.2019</t>
  </si>
  <si>
    <t>31.05.2019</t>
  </si>
  <si>
    <t>№32001770</t>
  </si>
  <si>
    <t>№18-21-0.182-11163/0/209-19 від 25.04.2019</t>
  </si>
  <si>
    <t>Обєкт на земельній ділянці</t>
  </si>
  <si>
    <t>Для розміщення та експлуатації обєктів дорожнього руху</t>
  </si>
  <si>
    <t>12.11</t>
  </si>
  <si>
    <t>вул. Миколи Букіна, в районі буд.№6</t>
  </si>
  <si>
    <t>Р.С. від 16.05.2019 №2010 - 06.06.2019</t>
  </si>
  <si>
    <t>ФОП Суршко Володимир Оксанович</t>
  </si>
  <si>
    <t>пр.Дніпровський, 30-б</t>
  </si>
  <si>
    <t>№20058063 від 14.04.2017</t>
  </si>
  <si>
    <t>Р.С. №2010 від 16.05.2019 - 13,06,2019</t>
  </si>
  <si>
    <t>16,05,2020</t>
  </si>
  <si>
    <t>Гр. Бордун Віктор Сергійович</t>
  </si>
  <si>
    <t>вул. Затишна, буд.1, кв.1</t>
  </si>
  <si>
    <t>№870 від 15.11.2012</t>
  </si>
  <si>
    <t>12.04.2013</t>
  </si>
  <si>
    <t>№1458230</t>
  </si>
  <si>
    <t xml:space="preserve"> 18.06.2013</t>
  </si>
  <si>
    <t>Р.С.16.05.2019 №2005 - 11,06,2019</t>
  </si>
  <si>
    <t>№31-21-0.182-11224/209-19 від 23.05.2019</t>
  </si>
  <si>
    <t>індивідуальний гараж</t>
  </si>
  <si>
    <t>№1458230 від 18.06.2013</t>
  </si>
  <si>
    <t>ФОП Розломій Дмитро Павлович</t>
  </si>
  <si>
    <t>вул. М.Букіна, буд.64-а, кв.39</t>
  </si>
  <si>
    <t>на розі вул.Горького - просп.Перемоги (пр. Перемоги, 12-в)</t>
  </si>
  <si>
    <t xml:space="preserve"> №2009 від 16.05.2019</t>
  </si>
  <si>
    <t>№32055077 від 14.06.2019</t>
  </si>
  <si>
    <t>30.05.2019</t>
  </si>
  <si>
    <t>№32055077</t>
  </si>
  <si>
    <t>№31-21-0.182-11238/0/209-19 від 30.05.2019</t>
  </si>
  <si>
    <t xml:space="preserve"> 16.05.2022</t>
  </si>
  <si>
    <t>02.03</t>
  </si>
  <si>
    <t>0506950311 Дмитро</t>
  </si>
  <si>
    <t>Для здійснення торгівельної діяльності</t>
  </si>
  <si>
    <t>№31-21-0.182-11550/0/209-19 від 19.07.2019</t>
  </si>
  <si>
    <t xml:space="preserve">ТОВ "ЕНЕРДЖИ ПРОДАКТ" </t>
  </si>
  <si>
    <t>м. Київ, вул. Михайлівська, буд.24-А</t>
  </si>
  <si>
    <t>6510700000:01:001:1514</t>
  </si>
  <si>
    <t>в районі перехрестя вул. Індустріальна - вул. Першотравнева</t>
  </si>
  <si>
    <t xml:space="preserve">№2060 від 27.06.2019 </t>
  </si>
  <si>
    <t>№32373109 від 08.07.2019</t>
  </si>
  <si>
    <t>08.07.2019</t>
  </si>
  <si>
    <t>№32373109</t>
  </si>
  <si>
    <t xml:space="preserve"> 08.07.2019</t>
  </si>
  <si>
    <t>№28-21-0.182-11271/0/209-19 від 10.06.2019</t>
  </si>
  <si>
    <t>Для буд-ва об"єкту інженерної інфраструктури - зовнішньої мережі напірної каналізації від адміністративної будівлі заводу будівельних матеріалів до централізованої системи водовідведення КП "Міський водоканал"</t>
  </si>
  <si>
    <t xml:space="preserve"> (11.04)</t>
  </si>
  <si>
    <t>6510700000:01:001:1515</t>
  </si>
  <si>
    <t>№32372634 від 08.07.2019</t>
  </si>
  <si>
    <t>№32372634</t>
  </si>
  <si>
    <t>№28-21-0.182-11270/0/209-19 від 10.06.2019</t>
  </si>
  <si>
    <t>ФО Логвін Сергій Назарович</t>
  </si>
  <si>
    <t xml:space="preserve">49124, м.Дніпро, Самарський район, вул. Ладозька, буд.3,кв.1   </t>
  </si>
  <si>
    <t>6510700000:01:001:1512</t>
  </si>
  <si>
    <t>вздовж траси по направленню Таврійської міської ради, навпроти АЗС</t>
  </si>
  <si>
    <t>ПЗТ №2/05/19 від 31.05.2019</t>
  </si>
  <si>
    <t>26.06.2019 №32189866</t>
  </si>
  <si>
    <t>№32189866</t>
  </si>
  <si>
    <t>№18-21-0.182-11162/0/209-19 від 25.04.2019</t>
  </si>
  <si>
    <t xml:space="preserve"> 05.04.2024</t>
  </si>
  <si>
    <t>р.с.№2009 від 16.05.2019/24.06.2019</t>
  </si>
  <si>
    <t>Р.с.від 16.05.2019 №2009/19.06.2019</t>
  </si>
  <si>
    <t>№31-21-0.182-11267/0/209-19 від 07.06.2019</t>
  </si>
  <si>
    <t>Р.С. від 16.05.2019 №2009 - 19.06.2019</t>
  </si>
  <si>
    <t>№18714208 від 20.01.2017</t>
  </si>
  <si>
    <t xml:space="preserve">№18714208 </t>
  </si>
  <si>
    <t>№18718356 від 20,01.2017</t>
  </si>
  <si>
    <t>р.с.№2009 від 16.05.2019/19,06,2019</t>
  </si>
  <si>
    <t>ТОВ "Український дистрибуційний центр"</t>
  </si>
  <si>
    <t>03,07,2019</t>
  </si>
  <si>
    <t xml:space="preserve">гр. Мізін Микола Миколайович </t>
  </si>
  <si>
    <t>гр. Мізіна Олена Іванівна</t>
  </si>
  <si>
    <t>АР Крим м.Джанкой вул.Фрунзе, 28</t>
  </si>
  <si>
    <t>№662 від 20.04.2012</t>
  </si>
  <si>
    <t>24.10.2014</t>
  </si>
  <si>
    <t xml:space="preserve">№9176797 </t>
  </si>
  <si>
    <t>№9176797 від 25.03.2015</t>
  </si>
  <si>
    <t>№31-21-0.182-11600/0/209-19 від 25.07.2019</t>
  </si>
  <si>
    <t xml:space="preserve"> 07.08.2023</t>
  </si>
  <si>
    <t xml:space="preserve"> 20.06.2023</t>
  </si>
  <si>
    <t xml:space="preserve"> 28.03.2022</t>
  </si>
  <si>
    <t>господарча споруда</t>
  </si>
  <si>
    <t>вул.Історична, буд.37, кв.3</t>
  </si>
  <si>
    <t>№9174841 від 25.03.2015</t>
  </si>
  <si>
    <t xml:space="preserve">№9174841 </t>
  </si>
  <si>
    <t>№31-21-0.182-11601/0/209-19 від 25.07.2019</t>
  </si>
  <si>
    <t>ТОВ "Каховка Пром-Агро"</t>
  </si>
  <si>
    <t>04053, м. Київ, вул. Січових Стрільців, буд.21, офіс 501</t>
  </si>
  <si>
    <t>6510700000:01:001:1559</t>
  </si>
  <si>
    <t>вул. Індустріальна, 19</t>
  </si>
  <si>
    <t xml:space="preserve">№2064 від 27.06.2019 </t>
  </si>
  <si>
    <t xml:space="preserve">№32557346 від 23.07.2019 </t>
  </si>
  <si>
    <t>22.07.2019 №74-19-юо</t>
  </si>
  <si>
    <t xml:space="preserve">№32557346 </t>
  </si>
  <si>
    <t>№31-21-0.182-11342/0/209-19 від 02.07.2019</t>
  </si>
  <si>
    <t>Цілісний майновий комплекс виробництва по переробці сої  (11.02)</t>
  </si>
  <si>
    <t xml:space="preserve"> №31-21-0.182-1550/0/209-18 від 02.11.2018</t>
  </si>
  <si>
    <t>ФОП Геєць Надія Леонідівна</t>
  </si>
  <si>
    <t xml:space="preserve"> 23.11.2020</t>
  </si>
  <si>
    <t xml:space="preserve"> 16.12.2024</t>
  </si>
  <si>
    <t xml:space="preserve"> 07.02.2020</t>
  </si>
  <si>
    <t xml:space="preserve"> 05.10.2019 </t>
  </si>
  <si>
    <t xml:space="preserve"> 13.07.2020</t>
  </si>
  <si>
    <t xml:space="preserve"> 28.03.2024</t>
  </si>
  <si>
    <t xml:space="preserve"> 07.02.2024</t>
  </si>
  <si>
    <t xml:space="preserve"> 16.08.2021</t>
  </si>
  <si>
    <t xml:space="preserve"> 23.11.2027</t>
  </si>
  <si>
    <t xml:space="preserve"> 26.04.2021</t>
  </si>
  <si>
    <t xml:space="preserve"> 26.04.2024</t>
  </si>
  <si>
    <t>Павлюк Наталія Олександрівна (мати дитини – інваліда)</t>
  </si>
  <si>
    <t xml:space="preserve">  №1955 від 05.02.2015 </t>
  </si>
  <si>
    <t xml:space="preserve">   №1373 від 23.12.2009</t>
  </si>
  <si>
    <t xml:space="preserve"> 25.05.2020</t>
  </si>
  <si>
    <t xml:space="preserve"> 17.01.2020</t>
  </si>
  <si>
    <t xml:space="preserve"> 21.06.2032</t>
  </si>
  <si>
    <t xml:space="preserve"> 27,06,2020</t>
  </si>
  <si>
    <t xml:space="preserve"> 20.12.2021</t>
  </si>
  <si>
    <t xml:space="preserve"> 06.06.2019</t>
  </si>
  <si>
    <t xml:space="preserve"> 07.08.2019</t>
  </si>
  <si>
    <t xml:space="preserve"> 08.02.2019</t>
  </si>
  <si>
    <t xml:space="preserve"> 11,04,2044</t>
  </si>
  <si>
    <t xml:space="preserve"> 05.10.2027</t>
  </si>
  <si>
    <t xml:space="preserve"> 10.11,2019</t>
  </si>
  <si>
    <t xml:space="preserve"> 10,11,2019</t>
  </si>
  <si>
    <t xml:space="preserve"> 06.06.2021</t>
  </si>
  <si>
    <t xml:space="preserve"> 16.12.2019</t>
  </si>
  <si>
    <t xml:space="preserve"> 15.05.2023</t>
  </si>
  <si>
    <t xml:space="preserve"> 06,06,2021</t>
  </si>
  <si>
    <t xml:space="preserve"> 03.04.2023</t>
  </si>
  <si>
    <t xml:space="preserve"> 25.10.2021</t>
  </si>
  <si>
    <t xml:space="preserve"> 26.06.2023</t>
  </si>
  <si>
    <t xml:space="preserve"> 20.12.2028</t>
  </si>
  <si>
    <t xml:space="preserve"> 22.03.2023</t>
  </si>
  <si>
    <t xml:space="preserve"> 19.12.2023</t>
  </si>
  <si>
    <t xml:space="preserve"> 09.06.2021</t>
  </si>
  <si>
    <t xml:space="preserve"> 21.12.2022</t>
  </si>
  <si>
    <t xml:space="preserve"> 08.02.2023</t>
  </si>
  <si>
    <t xml:space="preserve"> 15.09.2026</t>
  </si>
  <si>
    <t xml:space="preserve"> 30.03.2020</t>
  </si>
  <si>
    <t xml:space="preserve"> 22.03.2028</t>
  </si>
  <si>
    <t xml:space="preserve"> 05,10,2037</t>
  </si>
  <si>
    <t xml:space="preserve"> 27.12.2023</t>
  </si>
  <si>
    <t xml:space="preserve"> 17.01.2022</t>
  </si>
  <si>
    <t xml:space="preserve"> 25,10,2019</t>
  </si>
  <si>
    <t xml:space="preserve"> 19.10.2036</t>
  </si>
  <si>
    <t xml:space="preserve"> 11.08.2019</t>
  </si>
  <si>
    <t xml:space="preserve"> 16.02.2023</t>
  </si>
  <si>
    <t xml:space="preserve"> 05.09.2023</t>
  </si>
  <si>
    <t xml:space="preserve"> 13.07.2022</t>
  </si>
  <si>
    <t xml:space="preserve"> 07.02.2022</t>
  </si>
  <si>
    <t xml:space="preserve"> 25.05.2023</t>
  </si>
  <si>
    <t xml:space="preserve"> 22.03.2024</t>
  </si>
  <si>
    <t xml:space="preserve"> 01.03.2022</t>
  </si>
  <si>
    <t xml:space="preserve"> 17.11.2024</t>
  </si>
  <si>
    <t xml:space="preserve"> 13.03.2023</t>
  </si>
  <si>
    <t xml:space="preserve"> 24.10.2023</t>
  </si>
  <si>
    <t xml:space="preserve"> 21.12.2020</t>
  </si>
  <si>
    <t xml:space="preserve"> 10.11.2021</t>
  </si>
  <si>
    <t xml:space="preserve"> 25.01.2023</t>
  </si>
  <si>
    <t xml:space="preserve"> 20.12.2023</t>
  </si>
  <si>
    <t xml:space="preserve"> 05.04.2022</t>
  </si>
  <si>
    <t xml:space="preserve"> 05,10,2018</t>
  </si>
  <si>
    <t xml:space="preserve"> 08.11.2022</t>
  </si>
  <si>
    <t xml:space="preserve"> 21.12.2023</t>
  </si>
  <si>
    <t xml:space="preserve"> 15.12.2021</t>
  </si>
  <si>
    <t xml:space="preserve"> 26.03.2023</t>
  </si>
  <si>
    <t xml:space="preserve"> 25.05.2022</t>
  </si>
  <si>
    <t xml:space="preserve"> 19.11.2018</t>
  </si>
  <si>
    <t xml:space="preserve"> 20.07.2023</t>
  </si>
  <si>
    <t>08,02,2055</t>
  </si>
  <si>
    <t xml:space="preserve"> 20,12,2021</t>
  </si>
  <si>
    <t xml:space="preserve"> 25,10,2020</t>
  </si>
  <si>
    <t xml:space="preserve"> 08.10.2020</t>
  </si>
  <si>
    <t xml:space="preserve"> 14.07.2022</t>
  </si>
  <si>
    <t xml:space="preserve"> 14.04.2019</t>
  </si>
  <si>
    <t xml:space="preserve"> 15.09.2022</t>
  </si>
  <si>
    <t>ФО Малишенко Володимир Вікторович</t>
  </si>
  <si>
    <t>74800, Херсонська обл., м.Каховка, вул. Мелітопольська, буд.182-а, кв.18</t>
  </si>
  <si>
    <t>6510700000:13:028:0003</t>
  </si>
  <si>
    <t>вул. Першотравнева. 33-б</t>
  </si>
  <si>
    <t>ПЗТ №6/05/19 від 31.05.2019</t>
  </si>
  <si>
    <t>№32608216</t>
  </si>
  <si>
    <t>№32608216 від 25.07.2019</t>
  </si>
  <si>
    <t>№18-21-0.182-10966/0/209-19 від 13.03.2019</t>
  </si>
  <si>
    <t>6510700000:01:001:1448</t>
  </si>
  <si>
    <t>перехрестя вул.Першотравнева, перед орендованою ЗД ФОП Ільїна Д.А.</t>
  </si>
  <si>
    <t>ПЗТ №18160 від 10.07.2019</t>
  </si>
  <si>
    <t>№32607964</t>
  </si>
  <si>
    <t>№32607964 від 25.07.2019</t>
  </si>
  <si>
    <t>10.07.2019</t>
  </si>
  <si>
    <t>№18-21-0.182-1907/0/209-1 від 17.12.2018</t>
  </si>
  <si>
    <t>будівництво та обслуговування будівель торгівлі (комплекс споруд по торгівлі продукцією ландшафтного дизайну)</t>
  </si>
  <si>
    <t>6510700000:01:001:1435</t>
  </si>
  <si>
    <t>вул. Французька</t>
  </si>
  <si>
    <t>№1737 від 17.01.2019</t>
  </si>
  <si>
    <t>№32320647 від 08.07.2019</t>
  </si>
  <si>
    <t xml:space="preserve"> №28418083 від 16.10.2018</t>
  </si>
  <si>
    <t>№27508883 від 14.08.2018</t>
  </si>
  <si>
    <t>26271961 від 18.05.2018</t>
  </si>
  <si>
    <t>№26272433 від 18.05.2018</t>
  </si>
  <si>
    <t xml:space="preserve"> №3512486 від 14.11.2013</t>
  </si>
  <si>
    <t>26.03.2019</t>
  </si>
  <si>
    <t>№32320647</t>
  </si>
  <si>
    <t>№28-21-0.182-11046/0/209-19 від 26.03.2019</t>
  </si>
  <si>
    <t>Для розміщення об"єкту енергетичної інфраструктури - будівництво ЛЕП-0,4кВ від РУ-0.4 кВ ЗТП-6/0,4 кВ №156 для забезпечення приєднання електроустановок будівель нежитлових будинків по вул. Французька, 51</t>
  </si>
  <si>
    <t>ПП "ТЕРМІНАЛ ПРО 1"</t>
  </si>
  <si>
    <t>вул. Індустріальна, буд.5-а</t>
  </si>
  <si>
    <t>6510700000:01:001:1518</t>
  </si>
  <si>
    <t>вул. Індустріальна, 5-а</t>
  </si>
  <si>
    <t>№2062 від 27.06.2019</t>
  </si>
  <si>
    <t>№32621791 від 26.07.2019</t>
  </si>
  <si>
    <t>16.07.2019</t>
  </si>
  <si>
    <t>№32621791</t>
  </si>
  <si>
    <t>№28-21-0.182-11350/0/209-19 від 05.07.2019</t>
  </si>
  <si>
    <t>будівельна база підприємства</t>
  </si>
  <si>
    <t xml:space="preserve"> №8555034 від 30.01.2015</t>
  </si>
  <si>
    <t xml:space="preserve"> №8553034 від 30.01.2015</t>
  </si>
  <si>
    <t xml:space="preserve"> №2328077 від 27.08.2013</t>
  </si>
  <si>
    <t>№2339212 від 27.08.2013</t>
  </si>
  <si>
    <t xml:space="preserve"> №6911229 від 05.09.2014</t>
  </si>
  <si>
    <t xml:space="preserve"> №3084017 від 17.10.2013</t>
  </si>
  <si>
    <t xml:space="preserve"> №3330965 від 30.10.2011</t>
  </si>
  <si>
    <t xml:space="preserve"> №3317988 від 30.10.2011</t>
  </si>
  <si>
    <t>№23953224 від 11,12,2017</t>
  </si>
  <si>
    <t xml:space="preserve"> №23956364 від 11.12.2017</t>
  </si>
  <si>
    <t xml:space="preserve"> №5376427 від 15.04.2014</t>
  </si>
  <si>
    <t xml:space="preserve"> №6401764 від 21.07.2014</t>
  </si>
  <si>
    <t xml:space="preserve"> №8607587 від 02.02.2015</t>
  </si>
  <si>
    <t xml:space="preserve"> №8617033 від 04.02.2015</t>
  </si>
  <si>
    <t xml:space="preserve"> №3562763 від 26.11.2013</t>
  </si>
  <si>
    <t>№5608575 від 12.05.2014</t>
  </si>
  <si>
    <t xml:space="preserve"> №3124048 від 29.10.2013</t>
  </si>
  <si>
    <t xml:space="preserve"> №4118373 від 11.12.2013</t>
  </si>
  <si>
    <t xml:space="preserve"> №6157028 від 27.06.2014</t>
  </si>
  <si>
    <t xml:space="preserve"> №6073884 від 20.06.2014</t>
  </si>
  <si>
    <t xml:space="preserve"> №7929774 від 03.12.2014</t>
  </si>
  <si>
    <t xml:space="preserve"> №6236884 від 05.07.2014</t>
  </si>
  <si>
    <t>вул. Горького, в районі г/к "Сокіл"</t>
  </si>
  <si>
    <t xml:space="preserve"> ФОП Сушко Олена Олександрівна</t>
  </si>
  <si>
    <t xml:space="preserve">м.Нова Каховка, вул. Історична, буд.5, кв.35 </t>
  </si>
  <si>
    <t>№7709968 від 17.11.2014</t>
  </si>
  <si>
    <t>№7709968</t>
  </si>
  <si>
    <t>№31-21-0.182-11674/0/209-19 від 08.08.2019</t>
  </si>
  <si>
    <t>будівництво торгівельно-офісних приміщень</t>
  </si>
  <si>
    <t>вул.Першотравнева, 43-н</t>
  </si>
  <si>
    <t>№15267309 від 01.07.2016</t>
  </si>
  <si>
    <t>№15267309</t>
  </si>
  <si>
    <t>№31-21-0.182-11117/0/209-19 17.04.2019</t>
  </si>
  <si>
    <t>№315 від 09.06.2016</t>
  </si>
  <si>
    <t>30.06.2019</t>
  </si>
  <si>
    <t>вул. Новокаховське шосе</t>
  </si>
  <si>
    <t>вул.Історична, буд.17, кв.8</t>
  </si>
  <si>
    <t>№6966405 від 11.09.2014</t>
  </si>
  <si>
    <t>№6966405</t>
  </si>
  <si>
    <t>гр. Циклінська Дарина Олександрівна (мати дитини-інваліда)</t>
  </si>
  <si>
    <t>ФО Беляк Наталія Дмитрівна</t>
  </si>
  <si>
    <t>вул. Історична, буд.19, кв.6</t>
  </si>
  <si>
    <t>6510700000:13:061:0009</t>
  </si>
  <si>
    <t>вул.Першотравнева, 51</t>
  </si>
  <si>
    <t>№32846135 від 12.08.2019</t>
  </si>
  <si>
    <t>№32846135</t>
  </si>
  <si>
    <t>№18-21-0.182-1534/0/209-18 від 30.10.2018</t>
  </si>
  <si>
    <t>вул.Французька, 6-а</t>
  </si>
  <si>
    <t>ФО Колесник Дмитро Сергійович</t>
  </si>
  <si>
    <t>6510700000:01:001:1506</t>
  </si>
  <si>
    <t>ПЗТ №11/07/19 від 24.07.2019</t>
  </si>
  <si>
    <t>№32807101 від 09.08.2019</t>
  </si>
  <si>
    <t>24.07.2019</t>
  </si>
  <si>
    <t>№32807101</t>
  </si>
  <si>
    <t>№18-21-0.182-11087/0/209-19 від 05.04.2019</t>
  </si>
  <si>
    <t>0972900393</t>
  </si>
  <si>
    <t>0502399802</t>
  </si>
  <si>
    <t>№24676108 від 31.01.2018</t>
  </si>
  <si>
    <t>№13537932 від 29.02.2016</t>
  </si>
  <si>
    <t>23,12,2015</t>
  </si>
  <si>
    <t>№13537932</t>
  </si>
  <si>
    <t>№34-28-0.7-1478/2-15 від 25.09.2015 (668951,0); 03.01.2017 №1281/86-16 - 201545,90</t>
  </si>
  <si>
    <t>ФО  Колесник Дмитро Сергійович</t>
  </si>
  <si>
    <t>ПЗТ 26.01.2016</t>
  </si>
  <si>
    <t>№13537649 від 29.02.2016</t>
  </si>
  <si>
    <t>26.01.2016</t>
  </si>
  <si>
    <t>№13537649</t>
  </si>
  <si>
    <t>1282/86-16 від 03.01.2017 -70392,0</t>
  </si>
  <si>
    <t>будівництво складу - магазину</t>
  </si>
  <si>
    <t xml:space="preserve"> 3226921889;
 2177802090; 2285518427;
 3081116650; 3249916635; 2161802685; 2301522879;
 1250904280;</t>
  </si>
  <si>
    <t xml:space="preserve">Наделяєва Катерина Олександрівна, 
Тимченко Олександр Михайлович, Тимченко Алла Миколаївна,
Тімченко Дмитро Олександрович, Арсень Ігор Ігорович, 
Арсень Валентина Дмитрівна, Арсень Ігор Володимирович,
Сердюкова Олександра Костянтинівна, </t>
  </si>
  <si>
    <t>вул.Гідробудівників, 57</t>
  </si>
  <si>
    <t>651070000:01:001:1516</t>
  </si>
  <si>
    <t>№2067 від 27.06.2019</t>
  </si>
  <si>
    <t>№32750567 від 06.08.2019</t>
  </si>
  <si>
    <t xml:space="preserve">№32750567 </t>
  </si>
  <si>
    <t>№31-21-0.182-11352/0/209-19 від 23.05.2019</t>
  </si>
  <si>
    <t>ФО Поляк Людмила Іванівна</t>
  </si>
  <si>
    <t>вул. Андріївська (Калініна), буд.22</t>
  </si>
  <si>
    <t>651070000:01:002:0060</t>
  </si>
  <si>
    <t>№2126 від 30.07.2019</t>
  </si>
  <si>
    <t>вул. Першотравнева, 15</t>
  </si>
  <si>
    <t>№32847065</t>
  </si>
  <si>
    <t>№32847065 від 12.08.2019</t>
  </si>
  <si>
    <t>31,07,2019</t>
  </si>
  <si>
    <t xml:space="preserve"> 12.08.2019</t>
  </si>
  <si>
    <t>№31-21-0.182-12348/0/209-19 від 03.07.2019</t>
  </si>
  <si>
    <t>літній майданчик біля кафе "Роксолана"</t>
  </si>
  <si>
    <t>Угода</t>
  </si>
  <si>
    <t xml:space="preserve">ФОП Грибакова Наталія Миколаївна </t>
  </si>
  <si>
    <t>6510700000:01:001:1539</t>
  </si>
  <si>
    <t>вул.Першотравнева,  в районі орендованої земельної ділянки гр. Піун О.В.</t>
  </si>
  <si>
    <t>ПЗТ №25/08/19 від 09.08.2019</t>
  </si>
  <si>
    <t xml:space="preserve">№27093843 від 13.07.2018 </t>
  </si>
  <si>
    <t>№32960310 від 21.08.2019</t>
  </si>
  <si>
    <t>09.08.2019</t>
  </si>
  <si>
    <t xml:space="preserve">№32960310 </t>
  </si>
  <si>
    <t>№18-21-0.182-11242/0/209-19 від 04.06.2019</t>
  </si>
  <si>
    <t>буд-во та обслуговування  будівель торгівлі</t>
  </si>
  <si>
    <t>ФО Грецький Володимир Анатолійович</t>
  </si>
  <si>
    <t>пр. Перемоги, буд.26, кв.101</t>
  </si>
  <si>
    <t>6510700000:01:001:1463</t>
  </si>
  <si>
    <t>вул. Заводська, в районі будівлі №38</t>
  </si>
  <si>
    <t>ПЗТ №26/08/19 від 09.08.2019</t>
  </si>
  <si>
    <t>№32963612 від 21.08.2019</t>
  </si>
  <si>
    <t xml:space="preserve">№32963612 </t>
  </si>
  <si>
    <t xml:space="preserve"> 21.08.2019</t>
  </si>
  <si>
    <t>№18-21-0.182-11188/0/209-19 від 07.05.2019</t>
  </si>
  <si>
    <t>Гр. Пастух Катерина Сергіївна</t>
  </si>
  <si>
    <t xml:space="preserve">ФОП Навроцька Олена Віталіївна </t>
  </si>
  <si>
    <t>№18353831 від 22.12.2016</t>
  </si>
  <si>
    <t xml:space="preserve">№18353831 </t>
  </si>
  <si>
    <t>06.02.2018</t>
  </si>
  <si>
    <t>гр. Соколов Олександр Анатолійович</t>
  </si>
  <si>
    <t>ФОП Костриба Володимир Васильович</t>
  </si>
  <si>
    <t>гр. Маленко Юлія Олександрівна</t>
  </si>
  <si>
    <t xml:space="preserve">вул.Французька,4а </t>
  </si>
  <si>
    <t>вул.Французька,4а</t>
  </si>
  <si>
    <t>пр.Перемоги, 18</t>
  </si>
  <si>
    <t>№27044654</t>
  </si>
  <si>
    <t xml:space="preserve"> №1249406 від 29.05.2013 (№3694712 від 03.12.2013)</t>
  </si>
  <si>
    <t xml:space="preserve"> №1249406 (№3694712)</t>
  </si>
  <si>
    <t>29.05.2013  (03.12.2013)</t>
  </si>
  <si>
    <t xml:space="preserve">№12009865 </t>
  </si>
  <si>
    <t>№12009865 від 12.11.2015</t>
  </si>
  <si>
    <t>12.11.2015</t>
  </si>
  <si>
    <t>19,10,2017</t>
  </si>
  <si>
    <t>гр. Абрамян Христині Вагенаківні</t>
  </si>
  <si>
    <t>ФОП Антонов Сергій Іванович</t>
  </si>
  <si>
    <t/>
  </si>
  <si>
    <t xml:space="preserve">гр. Булеза Петро Петрович </t>
  </si>
  <si>
    <t>гр. Білий Сергій Анатолійович та Сушко Володимир Кирилович</t>
  </si>
  <si>
    <t>ФОП Абрамова Тетяна Анатоліївна</t>
  </si>
  <si>
    <t>гр. Безобразова Олена Валентинівна</t>
  </si>
  <si>
    <t>гр.Вімберг Інесса Анатоліївна</t>
  </si>
  <si>
    <t xml:space="preserve">гр. РФ Горошко Антоніна Василівна </t>
  </si>
  <si>
    <t xml:space="preserve">Гр. Довбня Анатолій Васильович </t>
  </si>
  <si>
    <t xml:space="preserve">Гр.Задирко Сергій Миколайович </t>
  </si>
  <si>
    <t>ФОП Іванова Марина Вікторівна</t>
  </si>
  <si>
    <t>Гр.Ігнатова Людмила Павлівна</t>
  </si>
  <si>
    <t>ФОП Копитюк Юрій Володимирович та гр. Крамаренко Олена Володимирівна</t>
  </si>
  <si>
    <t>гр. Матвієнко Андрій Борисович</t>
  </si>
  <si>
    <t>Гр. Мартинова Олена Василівна</t>
  </si>
  <si>
    <t>ФОП Марінчук Віталій Юрійович</t>
  </si>
  <si>
    <t>ФОП Марченко Наталія Георгіївна</t>
  </si>
  <si>
    <t>ФОП Мякиш Анатолій Михайлович та Чамлай Олександр Васильович</t>
  </si>
  <si>
    <t xml:space="preserve">гр. Подофа Зінаїда Іванівна (частка 1/12), Каменецький Руслан Богданович (частка 7/64), Каменецький Станіслав Богданович (частка 7/64), Новаковський Анатолій Павлович (частка 9/32) та Ємець Олег Валентинович (частка 5/12) </t>
  </si>
  <si>
    <t>гр. Попельчук Сергій Іванович</t>
  </si>
  <si>
    <t>гр. Ремньов Андрій Леонідович</t>
  </si>
  <si>
    <t xml:space="preserve">ФОП Фролова Оксана В’ячеславівна  </t>
  </si>
  <si>
    <t xml:space="preserve">ФОП Хут Олеся Анатоліївна </t>
  </si>
  <si>
    <t>6510700000:03:013:0085</t>
  </si>
  <si>
    <t>пр.Дніпровський, 1-п</t>
  </si>
  <si>
    <t>№17047438</t>
  </si>
  <si>
    <t>№17047438 від 19,10,2016</t>
  </si>
  <si>
    <t>№3511616</t>
  </si>
  <si>
    <t>№3511616 від 11.11.2013</t>
  </si>
  <si>
    <t>№16509593</t>
  </si>
  <si>
    <t>№13654464</t>
  </si>
  <si>
    <t>№13654464 від 04,03,2016</t>
  </si>
  <si>
    <t>№17508684</t>
  </si>
  <si>
    <t>№17508684 від 16,11,2016</t>
  </si>
  <si>
    <t xml:space="preserve">№11854416 </t>
  </si>
  <si>
    <t>№651070004000323 від 17.12.2012</t>
  </si>
  <si>
    <t>№16024403</t>
  </si>
  <si>
    <t>№16024403 від 16.08.2016</t>
  </si>
  <si>
    <t>№9587840</t>
  </si>
  <si>
    <t>№9587840 від 29,04,2015</t>
  </si>
  <si>
    <t>№3311744</t>
  </si>
  <si>
    <t>№3311744 від 28.10.2013</t>
  </si>
  <si>
    <t>№17834491</t>
  </si>
  <si>
    <t>№17834491 від 30.11.2016</t>
  </si>
  <si>
    <t>18,05,2016</t>
  </si>
  <si>
    <t>№17834491 від 18,05,2016</t>
  </si>
  <si>
    <t xml:space="preserve">№12390552, </t>
  </si>
  <si>
    <t>№12390552 від 07,12,2015</t>
  </si>
  <si>
    <t>№10184032</t>
  </si>
  <si>
    <t>вул.Першотравнева, 33, кв.16;  вул.Гідробудівників, 98 а;   м.Луганськ, вул.Ладожська, 128</t>
  </si>
  <si>
    <t xml:space="preserve">пр. Перемоги, 31, кв. 48, м.Нова Каховка, </t>
  </si>
  <si>
    <t>м. Нова Каховка, вул.Горького, буд.36, кв.62</t>
  </si>
  <si>
    <t>№6248754</t>
  </si>
  <si>
    <t>№6248754 від 07.07.2014</t>
  </si>
  <si>
    <t>№15413181</t>
  </si>
  <si>
    <t>№15413181 від 11.07.2016</t>
  </si>
  <si>
    <t>6510700000:14:063:0004</t>
  </si>
  <si>
    <t>№31-21-0.182-11706/0/209-19 від 20.08.2019</t>
  </si>
  <si>
    <t>м.Н.Каховка вул. Андріївська (Калініна), буд.61, кв.2</t>
  </si>
  <si>
    <t>м. Нова Каховка вул.Першотравнева, 45</t>
  </si>
  <si>
    <t>м. Нова Каховка вул.Соснова, 33</t>
  </si>
  <si>
    <t/>
  </si>
  <si>
    <t/>
  </si>
  <si>
    <t>№11419711</t>
  </si>
  <si>
    <t>№11419711 від 01.10.2015</t>
  </si>
  <si>
    <t>№65107000400287</t>
  </si>
  <si>
    <t>№65107000400287 від 06,11,2012</t>
  </si>
  <si>
    <t>вул.Історична, буд.39 кв.</t>
  </si>
  <si>
    <t>вул.Історична, в районі буд.№3</t>
  </si>
  <si>
    <t xml:space="preserve">від 24.07.2012   №774
</t>
  </si>
  <si>
    <t>11.09.2015</t>
  </si>
  <si>
    <t>№2055 від 21.05.2015</t>
  </si>
  <si>
    <t>01601, м.Київ, вул.Лейпцизька, 15</t>
  </si>
  <si>
    <t>вул.Дружби (Дзержинського), в районі буд. №32</t>
  </si>
  <si>
    <t>№2107 від 18.06.2015</t>
  </si>
  <si>
    <t>№10836502 від 18.08.2015</t>
  </si>
  <si>
    <t>18.06.2015</t>
  </si>
  <si>
    <t>№10836502</t>
  </si>
  <si>
    <t>21.01.04</t>
  </si>
  <si>
    <t>6510790800:01:001:0191</t>
  </si>
  <si>
    <t>№15623088</t>
  </si>
  <si>
    <t>№15623088 від 25.07.2016</t>
  </si>
  <si>
    <t>25.07.2016</t>
  </si>
  <si>
    <t>19.07.2016</t>
  </si>
  <si>
    <t>№15507787 від 19.07.2016</t>
  </si>
  <si>
    <t>№15507787</t>
  </si>
  <si>
    <t>вул. Рибальська, (Куйбишева), 1-б</t>
  </si>
  <si>
    <t>№15499527 від 19.07.2016</t>
  </si>
  <si>
    <t>№15499527</t>
  </si>
  <si>
    <t>№15509595 від 19.07.2016</t>
  </si>
  <si>
    <t>№15509595</t>
  </si>
  <si>
    <t>вул. Свєтлова, 7-б</t>
  </si>
  <si>
    <t>№15516221 від 20.07.2016</t>
  </si>
  <si>
    <t>20.07.2016</t>
  </si>
  <si>
    <t>№15516221</t>
  </si>
  <si>
    <t>№15515546  від 20.07.2016</t>
  </si>
  <si>
    <t>№15515546</t>
  </si>
  <si>
    <t>вул. Соборна, (Щорса), 25-б</t>
  </si>
  <si>
    <t>№15510494 від 19.07.2016</t>
  </si>
  <si>
    <t xml:space="preserve">№15510494 </t>
  </si>
  <si>
    <t>вул. Горького,7-а</t>
  </si>
  <si>
    <t>№15508382 від 19.07.2016</t>
  </si>
  <si>
    <t>№15508382</t>
  </si>
  <si>
    <t>№15501962 від 19.07.2016</t>
  </si>
  <si>
    <t xml:space="preserve">№15501962 </t>
  </si>
  <si>
    <t>№15621220 від 25.07.2016</t>
  </si>
  <si>
    <t>№15621220</t>
  </si>
  <si>
    <t>ул. Дружби, (Дзержинського), 15-б</t>
  </si>
  <si>
    <t>вул.Французька, (П.Комуни), 9-б</t>
  </si>
  <si>
    <t>вул. Соборна (Щорса), 17-б</t>
  </si>
  <si>
    <t>вул. Індустріальна, 1-б</t>
  </si>
  <si>
    <t>вул. Соборна (Щорса), 15-а</t>
  </si>
  <si>
    <t>6510700000:01:017:0047</t>
  </si>
  <si>
    <t xml:space="preserve">№12078294, </t>
  </si>
  <si>
    <t>№12078294 від 17,11,2015</t>
  </si>
  <si>
    <t>№651070004000059</t>
  </si>
  <si>
    <t xml:space="preserve">гр. Шатило Микола Миколайович </t>
  </si>
  <si>
    <t>гр. Лєонтьєв Володимир Павлович</t>
  </si>
  <si>
    <t xml:space="preserve"> 10.12.2020</t>
  </si>
  <si>
    <t xml:space="preserve"> 26.07.2023</t>
  </si>
  <si>
    <t xml:space="preserve"> 07.12.2019</t>
  </si>
  <si>
    <t xml:space="preserve"> 15.09.2025</t>
  </si>
  <si>
    <t xml:space="preserve"> 17.04.2021</t>
  </si>
  <si>
    <t xml:space="preserve"> 18.06.2020</t>
  </si>
  <si>
    <t xml:space="preserve"> 22.08.2023</t>
  </si>
  <si>
    <t xml:space="preserve"> 25.10.2023</t>
  </si>
  <si>
    <t xml:space="preserve"> 27.12.2022</t>
  </si>
  <si>
    <t xml:space="preserve"> 16.07.2020</t>
  </si>
  <si>
    <t>20.09.2019 (Р.С. 28.03.2019 №1889)</t>
  </si>
  <si>
    <t>17.09.2019 (РС 16.05.2019)</t>
  </si>
  <si>
    <t>№31-21-0.182-11827/209-19 від 01.10.2019</t>
  </si>
  <si>
    <t>№57 від 30.11.2010</t>
  </si>
  <si>
    <t>26,04,2011</t>
  </si>
  <si>
    <t>6510700000:01:001:1541</t>
  </si>
  <si>
    <t>вул.. Миколи Букіна, в районі буд.№8</t>
  </si>
  <si>
    <t>ПЗТ №35/09/19 від 18.09.2019</t>
  </si>
  <si>
    <t>№33440901 від 25.09.2019</t>
  </si>
  <si>
    <t>№33440901</t>
  </si>
  <si>
    <t>18.09.2019</t>
  </si>
  <si>
    <t>№18-21-0.182-11262/0/209-19 від 06.06.2019</t>
  </si>
  <si>
    <t>ФО Костенко Дмитро Анатолійович</t>
  </si>
  <si>
    <t>вул. Горького, буд.11, кв.43</t>
  </si>
  <si>
    <t>6510700000:01:001:1544</t>
  </si>
  <si>
    <t>вул. Промислова, в районі будівлі №7-д/1</t>
  </si>
  <si>
    <t>№36/09/19 від 18.09.2019</t>
  </si>
  <si>
    <t>№33441102 від 25.09.2019</t>
  </si>
  <si>
    <t>№33441102</t>
  </si>
  <si>
    <t>№18-21-0.182-11268/0/209-19 від 07.06.2019</t>
  </si>
  <si>
    <t>ПП "АЛЕКС-СТРОЙ-СЕРВІС"</t>
  </si>
  <si>
    <t>вул. Гідробудівників, буд.67, кв.2</t>
  </si>
  <si>
    <t>6510700000:01:001:1462</t>
  </si>
  <si>
    <t>№1858 від 28.03.2019</t>
  </si>
  <si>
    <t>№33440782 від 25.09.2019</t>
  </si>
  <si>
    <t>17.09.2019</t>
  </si>
  <si>
    <t xml:space="preserve">№33440782 </t>
  </si>
  <si>
    <t>№28-21-0.182-11096/0/209-19 від 09.04.2019</t>
  </si>
  <si>
    <t xml:space="preserve">для реконструкції обєкту незавершеного будівництва виробничо-складської бази під розміщення виробничої бази по виготовленню будівельних матеріалів </t>
  </si>
  <si>
    <t>вул. Миколи Букіна, буд.60, кв.43</t>
  </si>
  <si>
    <t>№10184032 від 24.06.2015</t>
  </si>
  <si>
    <t>24.06.2015</t>
  </si>
  <si>
    <t>02.10.2019 (угода №1)</t>
  </si>
  <si>
    <t>№31-21-0.182-11820/0/209-19 від 24.09.2019</t>
  </si>
  <si>
    <t xml:space="preserve">  651070004000024 від 03.06.2011 </t>
  </si>
  <si>
    <t>№651070004000024</t>
  </si>
  <si>
    <t/>
  </si>
  <si>
    <t>03.07.</t>
  </si>
  <si>
    <t>ФО Копаньов Сергій Юрійович</t>
  </si>
  <si>
    <t>№16024054 від 16.08.2016</t>
  </si>
  <si>
    <t>Російська Федерація</t>
  </si>
  <si>
    <t>м.Нова Каховка пр. Перемоги, 8/241</t>
  </si>
  <si>
    <t>07.07.2016</t>
  </si>
  <si>
    <t>№16024054</t>
  </si>
  <si>
    <t>6510700000:01:001:1549</t>
  </si>
  <si>
    <t>вул. Свєтлова, в р-ні кафе "Сова-24"</t>
  </si>
  <si>
    <t>ПЗТ 25.09.2019 №39/09/19</t>
  </si>
  <si>
    <t>№33533964 від 01.10.2019</t>
  </si>
  <si>
    <t>25.09.2019</t>
  </si>
  <si>
    <t>№33533964</t>
  </si>
  <si>
    <t>№18-21-0.182-11302/0/209-19 від 13.06.2019</t>
  </si>
  <si>
    <t>вул. Першотравнева, 51-а</t>
  </si>
  <si>
    <t>6510700000:01:001:1563</t>
  </si>
  <si>
    <t>№2190 від 22.08.2019</t>
  </si>
  <si>
    <t>№33511069 від 01.10.2019</t>
  </si>
  <si>
    <t>06.09.2019</t>
  </si>
  <si>
    <t xml:space="preserve">№33511069 </t>
  </si>
  <si>
    <t>№28-21-0.182-11738/0/209-19 від 04.09.2019</t>
  </si>
  <si>
    <t xml:space="preserve">Для розміщення об"єкту енергетичної інфраструктури - для будівництва (реконструкції)  ЛЕП-0,4кВ в рамках договору укладеного з ФОП Жаганом К.С. </t>
  </si>
  <si>
    <t>6510700000:01:001:1523</t>
  </si>
  <si>
    <t>вул. Французька, в районі буд.№15</t>
  </si>
  <si>
    <t>№2200 від 22.08.2019</t>
  </si>
  <si>
    <t>№33527550 від 02.10.2019</t>
  </si>
  <si>
    <t>№33527550</t>
  </si>
  <si>
    <t>№28-21-0.182-11737/0/209-19 від 04.09.2019</t>
  </si>
  <si>
    <t xml:space="preserve">Для розміщення об"єкту енергетичної інфраструктури - для будівництва КЛ-0,8 кВ в рамках договору укладеного з ФОП Яковенком В.Г. та ФОП Горіним В.М. </t>
  </si>
  <si>
    <t>ФО Тиркало Ярослав Михайлович</t>
  </si>
  <si>
    <t>вул. Р.Зорге, буд.4, кв.77</t>
  </si>
  <si>
    <t>6510700000:01:001:1565</t>
  </si>
  <si>
    <t>вул. Новокаховське шосе, в районі будівлі №6</t>
  </si>
  <si>
    <t>ПЗТ №41/09/19 від 25.09.2019</t>
  </si>
  <si>
    <t>№33551409 від 02.10.2019</t>
  </si>
  <si>
    <t>№33551409</t>
  </si>
  <si>
    <t>№18-21-0.182-11345/0/209-19 від 03.07.2019</t>
  </si>
  <si>
    <t xml:space="preserve">для розміщення виробничих споруд </t>
  </si>
  <si>
    <t>20.09.2019 (р.с. 16.05.2019 №2010)</t>
  </si>
  <si>
    <t xml:space="preserve">ФО Коробов Віктор Володимирович </t>
  </si>
  <si>
    <t xml:space="preserve">ФО Коробова Ірина Володимирівна </t>
  </si>
  <si>
    <t>вул. Ріхарда Зорге, буд.10, кв.20</t>
  </si>
  <si>
    <t>6510700000:01:001:1507</t>
  </si>
  <si>
    <t>ПЗТ №40/09/19 від 25.09.2019</t>
  </si>
  <si>
    <t>№33633759 від 07.10.2019</t>
  </si>
  <si>
    <t xml:space="preserve">№33633759 </t>
  </si>
  <si>
    <t>№18-21-0.182-11086/0/209-19 від 05.04.2019</t>
  </si>
  <si>
    <t xml:space="preserve">будівництво комплексу по обслуговуванню автомобілів </t>
  </si>
  <si>
    <t>вул. Першотравнева, напроти політехнічного коледжу</t>
  </si>
  <si>
    <t>6510700000:01:001:1543</t>
  </si>
  <si>
    <t>ПЗТ №31/09/19 від 11.09.2019</t>
  </si>
  <si>
    <t>№33706409 від 11.10.2019</t>
  </si>
  <si>
    <t>11.09.2019</t>
  </si>
  <si>
    <t>№33706409</t>
  </si>
  <si>
    <t>№18-21-0.182-11263/0/209-19 від 06.06.2019</t>
  </si>
  <si>
    <t xml:space="preserve"> будівництво виробничих споруд</t>
  </si>
  <si>
    <t>для будівництва об"єктів торгівлі</t>
  </si>
  <si>
    <t xml:space="preserve">ФО Ільїна Тетяна Анатоліївна </t>
  </si>
  <si>
    <t>вул. Історична, буд.77</t>
  </si>
  <si>
    <t>6510700000:01:001:1572</t>
  </si>
  <si>
    <t>вул.Горького, в районі ринку (з правого боку від входу)</t>
  </si>
  <si>
    <t>ПЗТ №20454 від 02.10.2019</t>
  </si>
  <si>
    <t>№33705766</t>
  </si>
  <si>
    <t>№33705766 від 11.10.2019</t>
  </si>
  <si>
    <t>02.10.2019</t>
  </si>
  <si>
    <t>№18-21-0.182-11536/0/209-19 15.07.2019</t>
  </si>
  <si>
    <t>для здійснення торгівельної діяльності</t>
  </si>
  <si>
    <t>6510700000:01:001:1577</t>
  </si>
  <si>
    <t>вул. Історична, 2-д/1</t>
  </si>
  <si>
    <t>№2201 від 22.08.2019</t>
  </si>
  <si>
    <t>№33815517 від 21.10.2019</t>
  </si>
  <si>
    <t>01.10.2019</t>
  </si>
  <si>
    <t>№33815517</t>
  </si>
  <si>
    <t>№28-21-0.182-11828/0/209-19 від 01.10.2019</t>
  </si>
  <si>
    <t>для розміщення гаражу підприємства</t>
  </si>
  <si>
    <t>6510700000:01:001:1575</t>
  </si>
  <si>
    <t>вул. Історична, 2/1</t>
  </si>
  <si>
    <t>№33815918 від 21.10.2019</t>
  </si>
  <si>
    <t>№33815918</t>
  </si>
  <si>
    <t>№28-21-0.182-11830/0/209-19 від 01.10.2019</t>
  </si>
  <si>
    <t>6510700000:01:001:1576</t>
  </si>
  <si>
    <t>вул. Історична, 2-д</t>
  </si>
  <si>
    <t>№33816946 від 21.10.2019</t>
  </si>
  <si>
    <t>№33816946</t>
  </si>
  <si>
    <t>№28-21-0.182-11829/0/209-19 від 01.10.2019</t>
  </si>
  <si>
    <t xml:space="preserve">Для розміщення та обслуговування магазину та сервіс-центру </t>
  </si>
  <si>
    <t xml:space="preserve">Для розміщення та обслуговування магазину (нежитлова будівля котельні з підвалом) </t>
  </si>
  <si>
    <t>ФО Горбачов Дмитро Олегович</t>
  </si>
  <si>
    <t>вул.Горького, буд.3, кв.99</t>
  </si>
  <si>
    <t>6510700000:01:001:1566</t>
  </si>
  <si>
    <t>вул. Французька, в районі будівлі №8-б</t>
  </si>
  <si>
    <t>ПЗТ №20010 від 01.10.2019</t>
  </si>
  <si>
    <t>№33817888</t>
  </si>
  <si>
    <t>№33817888 від 21.10.2019</t>
  </si>
  <si>
    <t>№18-21-0.182-11343/0/209-19 від 03.07.2019</t>
  </si>
  <si>
    <t xml:space="preserve">Для розміщення та обслуговування будівель транспортного підприємства </t>
  </si>
  <si>
    <t>(12.04)</t>
  </si>
  <si>
    <t>0506022119 Інна</t>
  </si>
  <si>
    <t>6510700000:01:001:1564</t>
  </si>
  <si>
    <t>вул. Французька, в районі будівлі №8</t>
  </si>
  <si>
    <t>ПЗТ №38/09/19 від 20.09.2019</t>
  </si>
  <si>
    <t>№33817670 від 21.10.2019</t>
  </si>
  <si>
    <t>№33817670</t>
  </si>
  <si>
    <t>20.09.2019</t>
  </si>
  <si>
    <t>21,10,2019</t>
  </si>
  <si>
    <t>№18-21-0.182-11346/0/209-19 від 03.07.2019</t>
  </si>
  <si>
    <t>Для розміщення споруд по обслуговуванню автомобільного транспорту</t>
  </si>
  <si>
    <t>ФО Лобанов Валерій Євгенович</t>
  </si>
  <si>
    <t>пр.Перемоги, буд.6 кв.36</t>
  </si>
  <si>
    <t>6510700000:01:001:1571</t>
  </si>
  <si>
    <t>пр. Перемоги, в районі будівлі №7</t>
  </si>
  <si>
    <t xml:space="preserve">№27228692 від 24.07.2018 </t>
  </si>
  <si>
    <t>№33817397</t>
  </si>
  <si>
    <t>№33817397 від 21.10.2019</t>
  </si>
  <si>
    <t>02,10,2019</t>
  </si>
  <si>
    <t>№18-21-0.182-11618/0/209-19 від 01.08.2019</t>
  </si>
  <si>
    <t xml:space="preserve">для будівництва закладів громадського харчування </t>
  </si>
  <si>
    <t>(03.08)</t>
  </si>
  <si>
    <t>0660371157, 0500389101</t>
  </si>
  <si>
    <t xml:space="preserve">ФО Абрамов Павло Баніпалович </t>
  </si>
  <si>
    <t>74987, смт.Дніпряни вул. Наддніпрянська, буд.58-а</t>
  </si>
  <si>
    <t>6510700000:01:001:1562</t>
  </si>
  <si>
    <t>вул. Заводська, в районі КНС</t>
  </si>
  <si>
    <t>№33862001 від 22.10.2019</t>
  </si>
  <si>
    <t>01,10,2019</t>
  </si>
  <si>
    <t>№33862001 в</t>
  </si>
  <si>
    <t>№18-21-0.182-11344/0/209-19 від 03.07.2019</t>
  </si>
  <si>
    <t xml:space="preserve"> (03.07) </t>
  </si>
  <si>
    <t>РС 28.03.2019 №1889 (22.10.2019)</t>
  </si>
  <si>
    <t>ФО Іванов Сергій Олексійович</t>
  </si>
  <si>
    <t>6510700000:01:001:1553</t>
  </si>
  <si>
    <t>вул. Горького, в районі міської лікарні</t>
  </si>
  <si>
    <t>ПЗТ №37/09/19 від 20.09.2019</t>
  </si>
  <si>
    <t>№33588664 від 04.10.2019</t>
  </si>
  <si>
    <t xml:space="preserve">№33588664 </t>
  </si>
  <si>
    <t>№18-21-0.182-11319/0/209-19 від 18.06.2019</t>
  </si>
  <si>
    <t>6510700000:01:001:1540</t>
  </si>
  <si>
    <t>вул. Новокаховське шосе, в районі між будівлями №6 та №8</t>
  </si>
  <si>
    <t>ПЗТ №42/09/19 від 27.09.2019</t>
  </si>
  <si>
    <t>№33588270 від 04.10.2019</t>
  </si>
  <si>
    <t>27.09.2019</t>
  </si>
  <si>
    <t xml:space="preserve">№33588270 </t>
  </si>
  <si>
    <t>№18-21-0.182-11241/0/209-19 від 04.06.2019</t>
  </si>
  <si>
    <t>Для розміщення виробничих споруд</t>
  </si>
  <si>
    <t xml:space="preserve">  (11.02) </t>
  </si>
  <si>
    <t>10,10,2022</t>
  </si>
  <si>
    <t>вул. Гідробудівників, буд.60</t>
  </si>
  <si>
    <t>№15687582 від 27.07.2016</t>
  </si>
  <si>
    <t>13.06.2016</t>
  </si>
  <si>
    <t>№15687582</t>
  </si>
  <si>
    <t xml:space="preserve"> 27.07.2016</t>
  </si>
  <si>
    <t>№31-21-0.182-11948/0/209-19 від 31.10.2019</t>
  </si>
  <si>
    <t>ФО Огарков Олександр Васильович</t>
  </si>
  <si>
    <t>м.Н.Каховка вул. Горького, б.13 кв. 24</t>
  </si>
  <si>
    <t>6510700000:01:017:0052</t>
  </si>
  <si>
    <t>вул. Дружби (Дзержинського), в районі буд.№9</t>
  </si>
  <si>
    <t>аукціон П.К. №27/08/19 від 30.08.2019</t>
  </si>
  <si>
    <t>№33320625 від 16.09.2019</t>
  </si>
  <si>
    <t>30.08.2019</t>
  </si>
  <si>
    <t>№33320625</t>
  </si>
  <si>
    <t>№18-21-0.182-11256/0/209-19 від 05.06.2019</t>
  </si>
  <si>
    <t>6510700000:01:001:1587</t>
  </si>
  <si>
    <t>вул. Новокаховське шосе (в районі дороги Р-47)</t>
  </si>
  <si>
    <t xml:space="preserve">№2200  від 22.08.2019 року </t>
  </si>
  <si>
    <t>№33640472</t>
  </si>
  <si>
    <t>№33640472 від 09.10.2019</t>
  </si>
  <si>
    <t>05.09.2019</t>
  </si>
  <si>
    <t>№28-21-0.182-11762/0/209-19 від 05.09.2019</t>
  </si>
  <si>
    <t xml:space="preserve">Для будівництва обʼєкту інженерної  інфраструктури –  будівництва ЛЕП- 6 кВ від опори №27 ПЛ-10кВ Л-623 ПС 330/220/150/35/6 кВ «Каховська 330» </t>
  </si>
  <si>
    <t>ФО Дідик Ріта Сергіївна</t>
  </si>
  <si>
    <t>вул.Довженко, буд.37, кв.34</t>
  </si>
  <si>
    <t>вул.Першотравнева, буд.11-а</t>
  </si>
  <si>
    <t>№2303 від 10.10.2019</t>
  </si>
  <si>
    <t>№33950002 від 28.10.2019</t>
  </si>
  <si>
    <t>24.10.2019</t>
  </si>
  <si>
    <t>№33950002</t>
  </si>
  <si>
    <t>№31-21-0,182-11932/0/209-19 від 23.10.2019</t>
  </si>
  <si>
    <t>Бабков</t>
  </si>
  <si>
    <t xml:space="preserve">ТОВ "Санлайт НК 2" </t>
  </si>
  <si>
    <t>м. Нова Каховка вул. Андріївська, буд.61, кв.2</t>
  </si>
  <si>
    <t>6510700000:01:001:1535</t>
  </si>
  <si>
    <t>6510700000:01:001:1536</t>
  </si>
  <si>
    <t>вул. Дружби (між спорудами КП "Міський водоканал" та землями лісового господарства")</t>
  </si>
  <si>
    <t>№2061 від 27.06.2019</t>
  </si>
  <si>
    <t>№33373838 від 20.09.2019</t>
  </si>
  <si>
    <t>№33373966 від 20.09.2019</t>
  </si>
  <si>
    <t xml:space="preserve">№33373838 </t>
  </si>
  <si>
    <t xml:space="preserve">№33373966 </t>
  </si>
  <si>
    <t xml:space="preserve"> 20.09.2019</t>
  </si>
  <si>
    <t>№31-21-0.182-11354/0/209-19 від 05.07.2019</t>
  </si>
  <si>
    <t>№31-21-0.182-11353/0/209-19 від 05.07.2019</t>
  </si>
  <si>
    <t xml:space="preserve">Для розміщення сонячної електростанції </t>
  </si>
  <si>
    <t>(14.01)</t>
  </si>
  <si>
    <t>вул.Першотравнева, 42-а</t>
  </si>
  <si>
    <t xml:space="preserve">№58 від 10.12.2015 </t>
  </si>
  <si>
    <t>№16509593 від 16.09.2016</t>
  </si>
  <si>
    <t>Р.С.№2303 від 10.10.2019</t>
  </si>
  <si>
    <t xml:space="preserve">ТОВ "Завод крупних електричних машин" </t>
  </si>
  <si>
    <t>вул. Першотравнева, в районі будівлі №35-а</t>
  </si>
  <si>
    <t>вул. Першотравнева, 35-Н</t>
  </si>
  <si>
    <t>6510700000:01:001:1599</t>
  </si>
  <si>
    <t>№2284 від 10.10.2019</t>
  </si>
  <si>
    <t>№33954170</t>
  </si>
  <si>
    <t>№33954170 від 29.10.2019</t>
  </si>
  <si>
    <t>23.10.2019</t>
  </si>
  <si>
    <t xml:space="preserve"> 29.10.2019</t>
  </si>
  <si>
    <t>№28-21-0.182-11924/0/209-19 від 22.10.2019</t>
  </si>
  <si>
    <t>11,04</t>
  </si>
  <si>
    <t xml:space="preserve">Для будівництва об҆єкту інженерної інфраструктури - водопровідної мережі </t>
  </si>
  <si>
    <t>№31-21-0.182-11889/0/209-18 від 17.10.2019</t>
  </si>
  <si>
    <t>РС №2094 від 27.06.2019</t>
  </si>
  <si>
    <t xml:space="preserve"> 09.10.2019 </t>
  </si>
  <si>
    <t>6510700000:01:001:1588</t>
  </si>
  <si>
    <t xml:space="preserve">№2285  від 10.10.2019 року </t>
  </si>
  <si>
    <t>№34208615 від 15.11.2019</t>
  </si>
  <si>
    <t>17.10.2019</t>
  </si>
  <si>
    <t>№34208615</t>
  </si>
  <si>
    <t xml:space="preserve"> 15.11.2019</t>
  </si>
  <si>
    <t>№32-21-0.182-11892/0/209-19 від 17.10.2019</t>
  </si>
  <si>
    <t>27,10,2021</t>
  </si>
  <si>
    <t xml:space="preserve">ФОП Шляжко Оксана Миколаївна </t>
  </si>
  <si>
    <t xml:space="preserve">вул. Затишна, буд.34, кв.33 </t>
  </si>
  <si>
    <t>6510700000:01:001:1597</t>
  </si>
  <si>
    <t>вул. Промислова, 9-п</t>
  </si>
  <si>
    <t>№2285 від 10.10.2019</t>
  </si>
  <si>
    <t>№34182070</t>
  </si>
  <si>
    <t>№34182070 від 13.11.2019</t>
  </si>
  <si>
    <t>№31-21-0.182-11925/0/209-19 від 22.10.2019</t>
  </si>
  <si>
    <t xml:space="preserve">(03.07) </t>
  </si>
  <si>
    <t xml:space="preserve">для будівництва та обслуговування комплексу нежитлових приміщень та споруд для здійснення підприємницької діяльності  </t>
  </si>
  <si>
    <t xml:space="preserve">ФОП Лук’яненко Анатолій Дмитрович, Корзилов Геннадій Олексійович, Ольховик Вадим Олександрович </t>
  </si>
  <si>
    <t>№31-21-0.182-11947/0/209-19 від 30.10.2019</t>
  </si>
  <si>
    <t xml:space="preserve">№2107 від 18.06.2015   </t>
  </si>
  <si>
    <t>вул. Сагайдачного, буд. 73; м. Херсон, вул. Гвардійської дівізії, б.49, кв.14; м. Херсон вул. Петренка, 92</t>
  </si>
  <si>
    <t/>
  </si>
  <si>
    <t/>
  </si>
  <si>
    <t/>
  </si>
  <si>
    <t/>
  </si>
  <si>
    <t/>
  </si>
  <si>
    <t/>
  </si>
  <si>
    <t/>
  </si>
  <si>
    <t/>
  </si>
  <si>
    <t xml:space="preserve">№31-21-0.182-11891/0/209-19 від 17.10.2019 </t>
  </si>
  <si>
    <t>6510700000:01:001:1505</t>
  </si>
  <si>
    <t>вул. Соборна, в районі г/к "Славутич"</t>
  </si>
  <si>
    <t>ПЗТ №43/09/19 від 27.09.2019</t>
  </si>
  <si>
    <t>№34276157</t>
  </si>
  <si>
    <t>№34276157 від 19.11.2019</t>
  </si>
  <si>
    <t>№18-21-0.182-11031/0/209-19 від 22.03.2019</t>
  </si>
  <si>
    <t xml:space="preserve">Для будівництва та обслуговування будівель торгівлі (03.07) </t>
  </si>
  <si>
    <t>РС №2304 від 10.10.2019 (20.11.2019)</t>
  </si>
  <si>
    <t>№31-21-0.182-11272/0/209-19 від 10.06.2019</t>
  </si>
  <si>
    <t>№31-21-0.182-12057/0/209-19 від 18.11.2019</t>
  </si>
  <si>
    <t>№8225596</t>
  </si>
  <si>
    <t>гр. Дигало Іван Олексійович</t>
  </si>
  <si>
    <t>вул. Горького, 24-в</t>
  </si>
  <si>
    <t>6510700000:01:001:1498</t>
  </si>
  <si>
    <t>вул. Промислова, в районі буд.№ 9</t>
  </si>
  <si>
    <t>ПЗТ №1/05/19 від 29.05.2019</t>
  </si>
  <si>
    <t>№31999155 від 10.06.2019</t>
  </si>
  <si>
    <t>№31999155</t>
  </si>
  <si>
    <t xml:space="preserve"> 10.06.2019</t>
  </si>
  <si>
    <t>№18-21-0.182-10967/0/209-19 від 13.03.2019</t>
  </si>
  <si>
    <t xml:space="preserve">будівництво та обслуговування складських приміщень </t>
  </si>
  <si>
    <t>28,11,2019 (РК 20.11.2019)</t>
  </si>
  <si>
    <t>гр. Пасько Марія Вікторівна</t>
  </si>
  <si>
    <t>651070000:01:001:1552</t>
  </si>
  <si>
    <t>651070000:01:001:1551</t>
  </si>
  <si>
    <t>№2309 від 10.10.2019</t>
  </si>
  <si>
    <t>№34448376</t>
  </si>
  <si>
    <t>№34448376 від 29.11.2019</t>
  </si>
  <si>
    <t>гр. Діденко Анатолій Іванович</t>
  </si>
  <si>
    <t>вул. Джерельна, 99</t>
  </si>
  <si>
    <t xml:space="preserve">№2309 від 10.10.2019 </t>
  </si>
  <si>
    <t>28,10,2019</t>
  </si>
  <si>
    <t>№34448136</t>
  </si>
  <si>
    <t>0964085240 ПАСЬКО</t>
  </si>
  <si>
    <t>№31-21-0,182-11893/0/209-19 від 18.10.2019</t>
  </si>
  <si>
    <t>гр. Слюсар Володимир Петрович</t>
  </si>
  <si>
    <t>вул. Андріївська, буд.7-Б</t>
  </si>
  <si>
    <t>ФОП Чумакова Наталія Марківна</t>
  </si>
  <si>
    <t>вул.Промислова, 9-б/6</t>
  </si>
  <si>
    <t>РС 10.10.2019 №2303 /22.11.2019</t>
  </si>
  <si>
    <t>м.Нова Каховка вул.Новоселівська, буд.4, кв.3</t>
  </si>
  <si>
    <t>651070000:01:001:1574</t>
  </si>
  <si>
    <t>№34223997 від 15.11.2019</t>
  </si>
  <si>
    <t>№34223997</t>
  </si>
  <si>
    <t>№18-21-0.182-11535/0/209-19</t>
  </si>
  <si>
    <t>27.06.2014   №1654</t>
  </si>
  <si>
    <t>09.09.2004 №747</t>
  </si>
  <si>
    <t>17.08.2010   №1630</t>
  </si>
  <si>
    <t>26.12.2006  №264</t>
  </si>
  <si>
    <t>09.04.2015 №2018</t>
  </si>
  <si>
    <t>ФО Ковалевська Наталія Анатоліївна</t>
  </si>
  <si>
    <t>ФО Хребтань Олена Петрівна, вул. Свєтлова, буд.2, кв.214</t>
  </si>
  <si>
    <t xml:space="preserve">ФО Хребтань Олена Петрівна, </t>
  </si>
  <si>
    <t>6510700000:03:014:0079</t>
  </si>
  <si>
    <t>6510700000:03:014:0054</t>
  </si>
  <si>
    <t>вул. Заводська, 2-л</t>
  </si>
  <si>
    <t>28.04.2004    № 633</t>
  </si>
  <si>
    <t>29.10.2009   №1297</t>
  </si>
  <si>
    <t>Угода №1 від 15.12.2017 (РК 15.12.2017)</t>
  </si>
  <si>
    <t>24.02.2014   №1507</t>
  </si>
  <si>
    <t>РС 17.01.2017 ДО 06,02,2017 (РС 21.11.19 №2403 ДО 10.12.2019)</t>
  </si>
  <si>
    <t>11.04.2014</t>
  </si>
  <si>
    <t>12,12,2022</t>
  </si>
  <si>
    <t xml:space="preserve">гр.Ревенко Іван Григорович та Ревенко Зінаїда Іванівна  </t>
  </si>
  <si>
    <t>1661820277; 1891523980</t>
  </si>
  <si>
    <t>вул. Дружби, буд.61; вул.Горького, буд.7, кв.101</t>
  </si>
  <si>
    <t>6510700000:01:0011631</t>
  </si>
  <si>
    <t xml:space="preserve">вул. Дружби, буд.61; </t>
  </si>
  <si>
    <t>№2387 від 21.11.2019</t>
  </si>
  <si>
    <t>№34680289 від 12.12.2019</t>
  </si>
  <si>
    <t>03.12.2019</t>
  </si>
  <si>
    <t>№34680289</t>
  </si>
  <si>
    <t>№31-21-0.182-12090/0/209-19 від 03.12.2019</t>
  </si>
  <si>
    <t>до 21.11.2029</t>
  </si>
  <si>
    <t xml:space="preserve"> житловий будинок, господарські будівлі і споруди</t>
  </si>
  <si>
    <t>Угода №1 (РС 10.10.2019 №2303)</t>
  </si>
  <si>
    <t>для розміщення обєкту торгівлі</t>
  </si>
  <si>
    <t>6510700000:01:003:1593</t>
  </si>
  <si>
    <t>вул.Затишна (Піонерська), 19</t>
  </si>
  <si>
    <t>№2403 від 21.11.2019</t>
  </si>
  <si>
    <t>№34608904 від 06.12.2019</t>
  </si>
  <si>
    <t>29.11.2019</t>
  </si>
  <si>
    <t xml:space="preserve">№34608904 </t>
  </si>
  <si>
    <t>№28-21-0.182-12077/0/209-19 від 25.11.2019</t>
  </si>
  <si>
    <t>Для розміщення та обслуговування адміністративної споруди підприємства</t>
  </si>
  <si>
    <t>вул. Соборна, (Щорса), буд.53, кв.58</t>
  </si>
  <si>
    <t>№1984702</t>
  </si>
  <si>
    <t>№31-21-0.182-12108/0/209-19 від 12.12.2019</t>
  </si>
  <si>
    <t/>
  </si>
  <si>
    <t/>
  </si>
  <si>
    <t/>
  </si>
  <si>
    <t xml:space="preserve">№195/0/209-17 від 23.08.2017 </t>
  </si>
  <si>
    <t xml:space="preserve">для будівництва та обслуговування будівель торгівлі </t>
  </si>
  <si>
    <t>вул.Свєтлова, 11</t>
  </si>
  <si>
    <t>№31-21-0.182-12081/0/209-19 від 28.11.2019</t>
  </si>
  <si>
    <t>до 21.11.2044</t>
  </si>
  <si>
    <t>РС №2407 від 21.11.2019-26,12,2019</t>
  </si>
  <si>
    <t>№31-21-0.182-12082/0/209-19 від 28.11.2019</t>
  </si>
  <si>
    <t>Р.С. №2010 від 16.05.2019 - 12,06,2019; РС №2407 від 21.11.2019-26,12,2019</t>
  </si>
  <si>
    <t>25,05,2018; РС №2407 від 21.11.2019-26,12,2019</t>
  </si>
  <si>
    <t>РС №2403 від 21.11.2019-26,12,2019</t>
  </si>
  <si>
    <t>21,11,2024</t>
  </si>
  <si>
    <t>№31-21-0.182-560/0/209-20 від 14.01.2020</t>
  </si>
  <si>
    <t>№31-21-0.182-53/0/209-20 від 14.01.2020</t>
  </si>
  <si>
    <t>№31-21-0.182-54/0/209-20 від 14.01.2020</t>
  </si>
  <si>
    <t>№18-21-0.182-158/0/209-20 від 17.01.2020</t>
  </si>
  <si>
    <t>антена та контейнер з обладнанням</t>
  </si>
  <si>
    <t>№32-21-0.182-160/0/209-20 від 17.01.2020</t>
  </si>
  <si>
    <t>№11854416 від 02.11.2015</t>
  </si>
  <si>
    <t>№1549 від 25.10.2018</t>
  </si>
  <si>
    <t>№35036119 від 10.01.2020</t>
  </si>
  <si>
    <t>№35036119</t>
  </si>
  <si>
    <t>№28-21-0.182-1563/0/209-18 від 05.11.2018</t>
  </si>
  <si>
    <t>2032004415  та 3263315673</t>
  </si>
  <si>
    <t>РС №2452 від 13.11.2019 - 16.01.2020</t>
  </si>
  <si>
    <t xml:space="preserve">ФО Ященко Ольга Іванівна </t>
  </si>
  <si>
    <t>вул.Джерельна, буд.45</t>
  </si>
  <si>
    <t xml:space="preserve">Для розміщення та обслуговування торгівельного кіоску по ремонту взуття </t>
  </si>
  <si>
    <t>№2407 від 21.11.2019</t>
  </si>
  <si>
    <t>№6769499 від 14.01.2020</t>
  </si>
  <si>
    <t>16.12.2019</t>
  </si>
  <si>
    <t>№6769499</t>
  </si>
  <si>
    <t xml:space="preserve"> 14.01.2020</t>
  </si>
  <si>
    <t>№31-21-0.182-12109/0/209-19 від 12.12.2019</t>
  </si>
  <si>
    <t>Нарахована на 2020 рік орендна плата, грн/рік</t>
  </si>
  <si>
    <t>Фактично нарахована на 2020 рік із змінами та з моменту реєстр., грн/ рік</t>
  </si>
  <si>
    <t>Сплачено у січні 2021</t>
  </si>
  <si>
    <t>Відсоток сплаченого  до нарахованого у 2020 році, %</t>
  </si>
  <si>
    <t xml:space="preserve">сплачено орендної плати у 2019 році, гривень </t>
  </si>
  <si>
    <t>% сплати орендної плати у 2019 році</t>
  </si>
  <si>
    <t>майстерня по ремонту взуття</t>
  </si>
  <si>
    <t>РС №1050 від 23.11.2017 -04,04,2018</t>
  </si>
  <si>
    <t>Для розміщення та обслуговування СТО</t>
  </si>
  <si>
    <t>вул.  Свєтлова, буд.7, кв.54</t>
  </si>
  <si>
    <t>№18-21-0.182-12112/0/209-19 від 12.12.2019</t>
  </si>
  <si>
    <t>літній майданчик біля кафе "Бо"</t>
  </si>
  <si>
    <t>22.03.2017- РС  №625 від 15.12.2016</t>
  </si>
  <si>
    <t>№1158 від 24.03.2006</t>
  </si>
  <si>
    <t>28.03.2006</t>
  </si>
  <si>
    <t xml:space="preserve">№1322 від 31.10.2013 </t>
  </si>
  <si>
    <t>№2259 від 08.10.2015 / 15,02,2017 (Р.с.25.10.2018 №1549- 29.03.2019);;; РС№2407 від 21.11.2019 - 16.01.2020</t>
  </si>
  <si>
    <t>№11/0/209-18 від 15.01.2018</t>
  </si>
  <si>
    <t>24.06.2014</t>
  </si>
  <si>
    <t>№31-21-0.182-12086/0/209-19 від 02.12.2019</t>
  </si>
  <si>
    <t>Нормативна грошова оцінка землі 2020, грн/м кв.</t>
  </si>
  <si>
    <t>№31-21-0.182-11799/0/209-19 від 17.09.2019</t>
  </si>
  <si>
    <t>№31-21-0.182-11797/0/209-19 від 17.09.2019</t>
  </si>
  <si>
    <t>№18-21-0.182-12110/0/209-19 від 12.12.2019</t>
  </si>
  <si>
    <t>6510700000:01:001:1570</t>
  </si>
  <si>
    <t>вул.Горького, в районі ринку (з лівого боку від входу)</t>
  </si>
  <si>
    <t>ПЗТ №22098 від 20.12.2019</t>
  </si>
  <si>
    <t>№35058730 від 11.01.2020</t>
  </si>
  <si>
    <t>20.12.2019</t>
  </si>
  <si>
    <t>№35058730</t>
  </si>
  <si>
    <t>№18-21-0.182-11585/0/209-19 24.07.2019</t>
  </si>
  <si>
    <t>РС №2303 від 10.10.2019 - 21.01.2020</t>
  </si>
  <si>
    <t>№18-21-0.182-12111/0/209-19 від 12.12.2019</t>
  </si>
  <si>
    <t>№18-21-0.182-12072/0/209-19 від 22.11.2019</t>
  </si>
  <si>
    <t>08.11.2005 №1051</t>
  </si>
  <si>
    <t>29.12.2005</t>
  </si>
  <si>
    <t>№18-21-0.182-12071/0/209-19 від 22.11.2019</t>
  </si>
  <si>
    <t>№18-21-0.182-12070/0/209-19 від 22.11.2019</t>
  </si>
  <si>
    <t>№18-21-0.182-12069/0/209-19 від 22.11.2019</t>
  </si>
  <si>
    <t>вул.Героїв України, район кологоспного ринку</t>
  </si>
  <si>
    <t>№18-21-0.182-259/0/209-20 від 22.01.2020</t>
  </si>
  <si>
    <t>№31-21-0.182-159/0/209-20 від 17.01.2020</t>
  </si>
  <si>
    <t>№31-21-0.182-13//0/209-20 від 10.01.2020</t>
  </si>
  <si>
    <t>27.01.2016  №310/86-16</t>
  </si>
  <si>
    <t>6510700000:11:046:0037</t>
  </si>
  <si>
    <t>№24244319 від 26,12,2017</t>
  </si>
  <si>
    <t>6510700000:02:011:0034</t>
  </si>
  <si>
    <t>гр. Дишлевий Артем Сергійович</t>
  </si>
  <si>
    <t>вул. Соснова, буд.3</t>
  </si>
  <si>
    <t>651070000:01:001:1425</t>
  </si>
  <si>
    <t>перехр. вул.Горького-вул.Індустріальна</t>
  </si>
  <si>
    <t>ПЗТ 334/03/2019 від 22.03.2019</t>
  </si>
  <si>
    <t>№31102042 від 05.04.2019</t>
  </si>
  <si>
    <t>22.03.2019</t>
  </si>
  <si>
    <t>№31102042</t>
  </si>
  <si>
    <t>№18-21-0.182-1588/0/209-18від 09.11.2018</t>
  </si>
  <si>
    <t>будівництво та обслуговування будівель торгівлі</t>
  </si>
  <si>
    <t>№28-21-0.182-957/0/209-19  18.01.2019</t>
  </si>
  <si>
    <t xml:space="preserve">№97-21-0.182-645/0/209-18 від </t>
  </si>
  <si>
    <t>6510700000:01:001:1591</t>
  </si>
  <si>
    <t>вул.Індустріальна, в районі будівлі №15-б</t>
  </si>
  <si>
    <t>№35204086 від 21.01.2020</t>
  </si>
  <si>
    <t>№35204086</t>
  </si>
  <si>
    <t>№18-21-0.182-11702/0/209-19 від 19.08.2019</t>
  </si>
  <si>
    <t xml:space="preserve">для будівництва та обслуговування об҆єктів виробництва </t>
  </si>
  <si>
    <t xml:space="preserve">Кузьмін Андрій Вікторович  та Колесник Тетяна Петрівна </t>
  </si>
  <si>
    <t>2885537174; 2381907441</t>
  </si>
  <si>
    <t>№35200257 від 22.01.2020</t>
  </si>
  <si>
    <t>30.11.2019</t>
  </si>
  <si>
    <t>№35200257</t>
  </si>
  <si>
    <t>РС 21.11.2019 №2403- 23.12.2019</t>
  </si>
  <si>
    <t>№18-21-0.182-438/0/209-20 від 27.01.2020</t>
  </si>
  <si>
    <t>№18-21-0.182-439/0/209-20 від 27.01.2020</t>
  </si>
  <si>
    <t>№18-21-0.182-427/0/209-20 від 27.01.2020</t>
  </si>
  <si>
    <t>№18-21-0.182-430/0/209-20 від 27.01.2020</t>
  </si>
  <si>
    <t>пр.Перемоги, (район автобусної зупинки "Сокіл")</t>
  </si>
  <si>
    <t>№1696 від 07.08.2014 року</t>
  </si>
  <si>
    <t>15,10,2014</t>
  </si>
  <si>
    <t>№31-21-0.182-11814/0/209-19 20.09.2018</t>
  </si>
  <si>
    <t>РС від 27.06.2019 №2098</t>
  </si>
  <si>
    <t/>
  </si>
  <si>
    <t/>
  </si>
  <si>
    <t/>
  </si>
  <si>
    <t>вул.Дружби (Дзержинського), в районі буд.№23-25</t>
  </si>
  <si>
    <t/>
  </si>
  <si>
    <t/>
  </si>
  <si>
    <t>№31-21-0.182-12080/0/209-19 від 27.11.2019</t>
  </si>
  <si>
    <t>№31-21-0.182-27/0/209-20 від 11.01.2020</t>
  </si>
  <si>
    <t>№31-21-0.182-10889/0/209-19 від 11.03.2019</t>
  </si>
  <si>
    <t>№31-21-0.182-11935/0/209-19 від 24.10.2019</t>
  </si>
  <si>
    <t>№24871101 від 14.02.2018</t>
  </si>
  <si>
    <t>№25340094 від 16.03.2018</t>
  </si>
  <si>
    <t>№25337336 від 16.03.2018</t>
  </si>
  <si>
    <t>№25414255 від 21.03.2018</t>
  </si>
  <si>
    <t>№7019491 від 17.09.2014</t>
  </si>
  <si>
    <t>№28-21-0.182-1161/0/209-18 від 14.08.2018</t>
  </si>
  <si>
    <t>№28-21-0.182-1163/0/209-18 від 14.08.2018</t>
  </si>
  <si>
    <t>№32-21-0.182-1162/0/209-18 від 14.08.2018</t>
  </si>
  <si>
    <t xml:space="preserve"> №3330965</t>
  </si>
  <si>
    <t>14.11.2013</t>
  </si>
  <si>
    <t>17.08.2015</t>
  </si>
  <si>
    <t>29,05,2023</t>
  </si>
  <si>
    <t>вул.Довженка 25/56</t>
  </si>
  <si>
    <t>03.12.2012</t>
  </si>
  <si>
    <t>10.09.2012</t>
  </si>
  <si>
    <t>№18-21-0.182-507/0/209-20 29.01.2020</t>
  </si>
  <si>
    <t>№236/0/209-17 від 28.09.2017</t>
  </si>
  <si>
    <t>6510700000:12:054:0048</t>
  </si>
  <si>
    <t>6510700000:01:002:0061</t>
  </si>
  <si>
    <t>6510700000:01:017:0050</t>
  </si>
  <si>
    <t>6510700000:01:016:0098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</si>
  <si>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</si>
  <si>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</si>
  <si>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</si>
  <si>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</si>
  <si>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</si>
  <si>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</si>
  <si>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</si>
  <si>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</si>
  <si>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</si>
  <si>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</si>
  <si>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</si>
  <si>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</si>
  <si>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Сплачено за  2020 рік</t>
  </si>
  <si>
    <t>Сплачено за фінансовий 2020 рік</t>
  </si>
  <si>
    <t>№18-21-0.182-661/0/209-20 від 03.02.2020</t>
  </si>
  <si>
    <t>№18-21-0.182-649/0/209-20 від 03.02.2020</t>
  </si>
  <si>
    <t>вул.Заводська, 2-м</t>
  </si>
  <si>
    <t>ФОП Бондаренко Володимир Анатолійович</t>
  </si>
  <si>
    <t>1,0; 7,00</t>
  </si>
  <si>
    <t>31.07.2013</t>
  </si>
  <si>
    <t>8,0; 1,05</t>
  </si>
  <si>
    <t>РС 25,10,2018 /04,12,2018</t>
  </si>
  <si>
    <t>Угода 11.01.2020</t>
  </si>
  <si>
    <t>РК 20.11.2019 угода 20,11,2019</t>
  </si>
  <si>
    <t>26,02,2018; РК 20.11.2019 -угода 20.11.2019</t>
  </si>
  <si>
    <t>РС 10.10.2019 №2303 /22.11.2019; УГОДА -11.01.2020</t>
  </si>
  <si>
    <t/>
  </si>
  <si>
    <t>17,01,2020-Угода</t>
  </si>
  <si>
    <t>РК 05,02,2020-Угода від 10.02.2020</t>
  </si>
  <si>
    <t/>
  </si>
  <si>
    <t/>
  </si>
  <si>
    <t/>
  </si>
  <si>
    <t/>
  </si>
  <si>
    <t/>
  </si>
  <si>
    <t/>
  </si>
  <si>
    <t/>
  </si>
  <si>
    <t/>
  </si>
  <si>
    <t/>
  </si>
  <si>
    <t>вул. Французька (П.Комуни) згідно з генпланом  забудови 2-ї черги мікрорайону №1</t>
  </si>
  <si>
    <t>викуп 13.02.2020 №2689</t>
  </si>
  <si>
    <t>викуп 13.02.2020 №2691</t>
  </si>
  <si>
    <t>припинено 13.02.2020 №2683 на Гюндюз Махсун</t>
  </si>
  <si>
    <t>Гр. Кузнецов Вячеслав Вікторович та Чекерма Ігор Іванович</t>
  </si>
  <si>
    <t>викуп РС 13.02.2020 №2692</t>
  </si>
  <si>
    <t xml:space="preserve"> припинено  13.02.2020 на Коваленко Є.С.- сервітут</t>
  </si>
  <si>
    <t>припинено  13.02.2020 на Коваленко Є.С. сервітут</t>
  </si>
  <si>
    <t>аукціон ПЗТ №264/07/18 від 20.07.2018</t>
  </si>
  <si>
    <t>РС 21.11.2019 - ДО 05.02.2020</t>
  </si>
  <si>
    <t>Угода 17.01.2020</t>
  </si>
  <si>
    <t>ЖБК Славутич</t>
  </si>
  <si>
    <t xml:space="preserve">ГОРОДЕЦЬКИЙ ВIКТОР ПИЛИПОВИЧ </t>
  </si>
  <si>
    <t>ЖИТЛОВО-БУДIЕЛЬНИЙ КООПЕРАТИВ №41</t>
  </si>
  <si>
    <t xml:space="preserve">Заболотний </t>
  </si>
  <si>
    <t>20953647 АБ "Пiвденний"</t>
  </si>
  <si>
    <t>Припинено 2020 р.</t>
  </si>
  <si>
    <t>набуття права власності на ЗД РС 13.02.2020 №2641</t>
  </si>
  <si>
    <t>№34448163 від 29.11.2019</t>
  </si>
  <si>
    <t>"МЕГАБАНК";</t>
  </si>
  <si>
    <t xml:space="preserve">ФОП ЦИСОВСЬКИЙ ОЛЕГ ОЛЕКСАНДРОВИЧ </t>
  </si>
  <si>
    <t>ФОП Андрєєва Валентина Дмитрівна , померла</t>
  </si>
  <si>
    <t>РС 13.02.2020</t>
  </si>
  <si>
    <t>Дадика О.В.</t>
  </si>
  <si>
    <t>№31-21-0.182-1589/0/209-18 від 12.11.2018</t>
  </si>
  <si>
    <t>викуп 13,02,2020</t>
  </si>
  <si>
    <t>Т огородників Південний</t>
  </si>
  <si>
    <t>ДП Строй Маркет Груп</t>
  </si>
  <si>
    <t>Дадика М.О.</t>
  </si>
  <si>
    <t>ФГ Дон</t>
  </si>
  <si>
    <t>ПрАТ ДМК Таврія</t>
  </si>
  <si>
    <t>Олішевський</t>
  </si>
  <si>
    <t>Філімонов</t>
  </si>
  <si>
    <t>6510700000:01:001:1589</t>
  </si>
  <si>
    <t>Для будівництва обʼєкту інженерної  інфраструктури –  будівництва ПЛ-0.4 кВ для приєднання електроустановок трьох зблокованих стаціонарних торгівельних павільйонів , в рамках договору про приєднання електричних мереж №1103953/67658 від 15.06.2018 укладеного  з ФОП Ковалевська Н.А.</t>
  </si>
  <si>
    <t>№35559809</t>
  </si>
  <si>
    <t>№35559809  від 17.02.2020</t>
  </si>
  <si>
    <t>26.12.2019</t>
  </si>
  <si>
    <t>№28-21-0.182-12058/0/209-19 від 19.11.2019</t>
  </si>
  <si>
    <t>10,10,2020</t>
  </si>
  <si>
    <t>Брагіда</t>
  </si>
  <si>
    <t>припинення  26.02.2020</t>
  </si>
  <si>
    <t xml:space="preserve">ФО Дяченко Віктор Григорович </t>
  </si>
  <si>
    <t>пр. Перемоги, буд.13, кв.367</t>
  </si>
  <si>
    <t>6510700000:01:001:1586</t>
  </si>
  <si>
    <t>вул.Заводська, в районі буд.№4</t>
  </si>
  <si>
    <t>ПЗТ №4/02/20 від 21.02.2020</t>
  </si>
  <si>
    <t>№35861049 від 03.03.2020</t>
  </si>
  <si>
    <t>21.02.2020</t>
  </si>
  <si>
    <t>№35861049</t>
  </si>
  <si>
    <t>№18-21-0.182-11933/0/209-19 від 23.10.2019</t>
  </si>
  <si>
    <t>буд-во та обслуговування  магазину</t>
  </si>
  <si>
    <t>буд-во та обслуговування  автосалону (магазину)</t>
  </si>
  <si>
    <t>21650966 ПАТ "МТБ БАНК"</t>
  </si>
  <si>
    <t>ВIДЗИВАЩЕЦЬ СЕРГIЙ ВАСИЛЬОВИЧ</t>
  </si>
  <si>
    <t xml:space="preserve">  </t>
  </si>
  <si>
    <t xml:space="preserve">Кузнецов Вячеслав Вiкторович дог оренди землi 88-19-фо вiд 30,08,19 </t>
  </si>
  <si>
    <t>ТОВ "ВЕКТОРПРОМКОНСАЛТ" штрафни санкции)</t>
  </si>
  <si>
    <t>РС 12.12.2019 №2558 / 03,02,2020</t>
  </si>
  <si>
    <t>ЗМІНИ</t>
  </si>
  <si>
    <t>РС 12,12,2019 №2558/06,02,2020</t>
  </si>
  <si>
    <t>12,12,2024</t>
  </si>
  <si>
    <t>припинео на Дверницьку</t>
  </si>
  <si>
    <t xml:space="preserve">ФО Дверницька Ольга Анатоліївна </t>
  </si>
  <si>
    <t>вул. Затишна, буд.23, кв.38</t>
  </si>
  <si>
    <t>№35626791 від 18.02.2020</t>
  </si>
  <si>
    <t>09.12.2019</t>
  </si>
  <si>
    <t>№35626791</t>
  </si>
  <si>
    <t xml:space="preserve">ФОП Ніколаєнко Станіслав Володимирович </t>
  </si>
  <si>
    <t>Каховський р-н, с.Кам"янка вул. Спеціалістів, буд.9</t>
  </si>
  <si>
    <t>651070000:01:001:1557</t>
  </si>
  <si>
    <t>вул. Торгова, 1-т</t>
  </si>
  <si>
    <t>№2554 від 12.12.2019</t>
  </si>
  <si>
    <t>№35940856 від 10.03.2020</t>
  </si>
  <si>
    <t>14.02.2020</t>
  </si>
  <si>
    <t xml:space="preserve">№35940856 </t>
  </si>
  <si>
    <t xml:space="preserve"> 10.03.2020</t>
  </si>
  <si>
    <t>№31-21-0.182-589/0/209-12 від 31.01.2020</t>
  </si>
  <si>
    <t>РС 26.03.2020 №2768 (15,04,2020)</t>
  </si>
  <si>
    <t xml:space="preserve">ФО Гюндюз Махсун (гр.Турецької республіки) </t>
  </si>
  <si>
    <t>Турецька республіка, м.Стамбул, район Умраніє, м-н Інкілап, вул.Февзіпаша, буд.75, кв.8</t>
  </si>
  <si>
    <t>№2683 від 13.02.2020</t>
  </si>
  <si>
    <t>№36225770</t>
  </si>
  <si>
    <t>№36225770 від 06.04.2020</t>
  </si>
  <si>
    <t>19.02.2020</t>
  </si>
  <si>
    <t>№18-21-0.182-1095/0/209-20 від 19.02.2020</t>
  </si>
  <si>
    <t xml:space="preserve">Реконструкція нежитлової будівлі їдальні під виробничі споруди </t>
  </si>
  <si>
    <t>09,01,2018 №24374626;  РС №2810 від 09.04.2020 - 17.04.2020)</t>
  </si>
  <si>
    <t>№32-21-0,182-1598/0/209-20 від 21.04.2020</t>
  </si>
  <si>
    <t>Для використання виробничої будівлі під установку закритого водопостачання (11.02)</t>
  </si>
  <si>
    <t xml:space="preserve">ФОП Мовчан Сергій Іванович </t>
  </si>
  <si>
    <t>вул.Заводська, 2-л/1</t>
  </si>
  <si>
    <t>РС 2768 від 26.03.2020-Угода 08.04.2020</t>
  </si>
  <si>
    <t>ТОВ "СОЛІЯ"</t>
  </si>
  <si>
    <t>73000, м.Херсон, вул.Воронцовська, буд.6, кв.10</t>
  </si>
  <si>
    <t>№2768 від 26.03.2020</t>
  </si>
  <si>
    <t>26.03.2020 №17-20-ЮО</t>
  </si>
  <si>
    <t>26,03,2030</t>
  </si>
  <si>
    <t>№36179290 від 01.04.2020</t>
  </si>
  <si>
    <t xml:space="preserve">№36179290 </t>
  </si>
  <si>
    <t>СИДОРЕНКО НАТАЛЯ ОЛЕКСАНДРIВНА</t>
  </si>
  <si>
    <t>викуп</t>
  </si>
  <si>
    <t>РС 07.05.2020 №2889 у власність</t>
  </si>
  <si>
    <t xml:space="preserve">Діденко - приватна власність, </t>
  </si>
  <si>
    <t>Брулевич 0,0563, Ільїна 0,0241, Скурська 0,28, Демченко  ВИКУП</t>
  </si>
  <si>
    <t>Щербак Н.М.</t>
  </si>
  <si>
    <t>за 3 місяця</t>
  </si>
  <si>
    <t xml:space="preserve">№28-21-0.182-1733/0/209-20 від 20.05.2020 року </t>
  </si>
  <si>
    <t>20.09.2019 (р.с. 16.05.2019 №2010); РС 26.03.2020 №2768 - 08.05.2020)</t>
  </si>
  <si>
    <t>ПрАТ "ВФ Україна"</t>
  </si>
  <si>
    <t>РС №2768 від 26.03.2020 - 13.05.2020</t>
  </si>
  <si>
    <t xml:space="preserve">ТОВ "АБЗ-ІНВЕСТ" </t>
  </si>
  <si>
    <t>6510700000:01:001:0834</t>
  </si>
  <si>
    <t>№36587657 від 22.05.2020</t>
  </si>
  <si>
    <t>№35-20-юо від 18.05.2020</t>
  </si>
  <si>
    <t>№36587657</t>
  </si>
  <si>
    <t xml:space="preserve"> 22.05.2020</t>
  </si>
  <si>
    <t>№28-21-0.182-1732/0/209-20 від 15.05.2020</t>
  </si>
  <si>
    <t>Обєкти нерухомого майна- виробничі споруди</t>
  </si>
  <si>
    <t xml:space="preserve"> (11.02)</t>
  </si>
  <si>
    <t>Для будівництва об’єкту інженерної інфраструктури –  ПЛ-0,4кВ, в рамках договору про приєднання до електричних мереж №1060188/55799 від 14.12.2016 року, укладеного з Абрамовим Б.П.,</t>
  </si>
  <si>
    <t xml:space="preserve">6510700000:01:001:1624; 6510700000:01:001:1623; 6510700000:01:001:1625 </t>
  </si>
  <si>
    <t>№36568021; №36566315; №36566086 від 19.05.2020</t>
  </si>
  <si>
    <t>13.01.2020 №07-20-юо</t>
  </si>
  <si>
    <t xml:space="preserve">№36568021; №36566315; №36566086 </t>
  </si>
  <si>
    <t xml:space="preserve"> 19.05.2020</t>
  </si>
  <si>
    <t>0,0008; 0,0174; 0,0039</t>
  </si>
  <si>
    <t>214,0; 214,90; 377,19</t>
  </si>
  <si>
    <t>1719,20; 37392,60; 14733,81</t>
  </si>
  <si>
    <t xml:space="preserve"> №28-21-0.182-12183/0/209-19 від 28.12.2019; №28-21-0.182-12185/0/209-19 від 28.12.2019; №28-21-0.182-12184/0/209-19 від 28.12.2019;</t>
  </si>
  <si>
    <t>до 21.11.2020</t>
  </si>
  <si>
    <t xml:space="preserve">ФОП Сидоренко Наталя Олександрівна </t>
  </si>
  <si>
    <t>№36357894 від 23.04.2020</t>
  </si>
  <si>
    <t>09.04.2020 №18-20-фо</t>
  </si>
  <si>
    <t xml:space="preserve">№36357894 </t>
  </si>
  <si>
    <t xml:space="preserve"> 23.04.2020</t>
  </si>
  <si>
    <t>для здійснення підприємницьцької діяльності</t>
  </si>
  <si>
    <t xml:space="preserve">ФОП Шуринін Олег Юрійович </t>
  </si>
  <si>
    <t>№36620789 від 20.05.2020</t>
  </si>
  <si>
    <t>№36620789</t>
  </si>
  <si>
    <t>№31-21-0.182-1596/0/209-20 від 21.04.2020</t>
  </si>
  <si>
    <t xml:space="preserve">ФОП  Яковенко Валерій Геннадійович </t>
  </si>
  <si>
    <t>6510700000:01:001:1475</t>
  </si>
  <si>
    <t>№36588348 від 18.05.2020</t>
  </si>
  <si>
    <t xml:space="preserve">№36588348 </t>
  </si>
  <si>
    <t>№28-21-0.182-10634/0/209-19 від 15.02.2019</t>
  </si>
  <si>
    <t xml:space="preserve">Для розміщення та обслуговування орендованої нежитлової будівлі під складські приміщення </t>
  </si>
  <si>
    <t>№32-20-фо від 23.04.2020</t>
  </si>
  <si>
    <t>6510700000:01:001:1687</t>
  </si>
  <si>
    <t>№36652758 від 22.05.2020</t>
  </si>
  <si>
    <t>26.02.2020</t>
  </si>
  <si>
    <t>№36652758</t>
  </si>
  <si>
    <t>№28-21-0.182-1250/0/209-20 від 26.02.2020</t>
  </si>
  <si>
    <t>6510700000:01:001:1684</t>
  </si>
  <si>
    <t>№36651616 від 22.05.2020</t>
  </si>
  <si>
    <t>№36651616</t>
  </si>
  <si>
    <t>№28-21-0.182-1251/0/209-20 від 26.02.2020</t>
  </si>
  <si>
    <t>040473200001 21.01.04</t>
  </si>
  <si>
    <t xml:space="preserve">№11397145 від 30.09.2015 </t>
  </si>
  <si>
    <t>№11397145</t>
  </si>
  <si>
    <t>№18-21-0.182-1844/209-20 від 10.06.2020</t>
  </si>
  <si>
    <t>№18-21-0.182-1862/0/209-20 від 11.06.2020</t>
  </si>
  <si>
    <t>12.05.2020</t>
  </si>
  <si>
    <t>№36711367 від 28.05.2020; №36765396 від 02.06.2020</t>
  </si>
  <si>
    <t>№36711367, №36765396</t>
  </si>
  <si>
    <t>28.05.2020, 02.06.2020</t>
  </si>
  <si>
    <t>40753,88; 4742,82</t>
  </si>
  <si>
    <t>211,16; 175,66</t>
  </si>
  <si>
    <t xml:space="preserve">№28-21-0.182-1714/0/209-20 від 08.05.2020;          №28-21-0.182-1713/0/209-20 від 08.05.2020; </t>
  </si>
  <si>
    <t>для будівництва об’єкту інженерної інфраструктури – ПЛ-6кВ, в рамках договору про приєднання до електричних мереж №1052053/54159 від 23.09.2016 року, укладеного з Алавердян Г.М., для приєднання електроустановок складської будівлі по вул.Французька, 33</t>
  </si>
  <si>
    <t>6510700000:01:001:1677; 6510700000:01:001:1678;</t>
  </si>
  <si>
    <t>0,0220 (0,0193, 0,0027)</t>
  </si>
  <si>
    <t>6510700000:01:001:1632</t>
  </si>
  <si>
    <t>№36851503 від 05.06.2020</t>
  </si>
  <si>
    <t>29.05.2020</t>
  </si>
  <si>
    <t>№36851503</t>
  </si>
  <si>
    <t>№18-21-0.182-12116/0/209-19 від 13.12.2019</t>
  </si>
  <si>
    <t xml:space="preserve">ФО Чумакова Юлія Вікторівна </t>
  </si>
  <si>
    <t>до 29.05.2025</t>
  </si>
  <si>
    <t xml:space="preserve">для здійснення торгівельної діяльності </t>
  </si>
  <si>
    <t>ФО Хребтань Олена Петрівна</t>
  </si>
  <si>
    <t>гр. Гудков Ігор Олександрович</t>
  </si>
  <si>
    <r>
      <t xml:space="preserve">ФО Коваленко Микола Євгенійович </t>
    </r>
    <r>
      <rPr>
        <b/>
        <i/>
        <sz val="14"/>
        <rFont val="Times New Roman"/>
        <family val="1"/>
        <charset val="204"/>
      </rPr>
      <t>(суборендар Дем"яненко Ігор Іванович)</t>
    </r>
  </si>
  <si>
    <r>
      <t>2667514334</t>
    </r>
    <r>
      <rPr>
        <b/>
        <i/>
        <sz val="14"/>
        <rFont val="Times New Roman"/>
        <family val="1"/>
        <charset val="204"/>
      </rPr>
      <t xml:space="preserve"> (2364304356)</t>
    </r>
  </si>
  <si>
    <r>
      <t xml:space="preserve">№20118776 від 19.04.2017 </t>
    </r>
    <r>
      <rPr>
        <b/>
        <i/>
        <sz val="14"/>
        <rFont val="Times New Roman"/>
        <family val="1"/>
        <charset val="204"/>
      </rPr>
      <t xml:space="preserve"> (19.11.2019 №34290519)</t>
    </r>
  </si>
  <si>
    <r>
      <t xml:space="preserve">05.04.2017 </t>
    </r>
    <r>
      <rPr>
        <b/>
        <i/>
        <sz val="14"/>
        <rFont val="Times New Roman"/>
        <family val="1"/>
        <charset val="204"/>
      </rPr>
      <t>(18.10.2019)</t>
    </r>
  </si>
  <si>
    <r>
      <t xml:space="preserve">№20118776 </t>
    </r>
    <r>
      <rPr>
        <b/>
        <i/>
        <sz val="14"/>
        <rFont val="Times New Roman"/>
        <family val="1"/>
        <charset val="204"/>
      </rPr>
      <t>(34290519)</t>
    </r>
  </si>
  <si>
    <r>
      <t xml:space="preserve">19,04,2017 </t>
    </r>
    <r>
      <rPr>
        <b/>
        <i/>
        <sz val="14"/>
        <rFont val="Times New Roman"/>
        <family val="1"/>
        <charset val="204"/>
      </rPr>
      <t>(19.11.2019)</t>
    </r>
  </si>
  <si>
    <r>
      <t>Сидоренко (Шульга) Ірина Олександрівна</t>
    </r>
    <r>
      <rPr>
        <b/>
        <i/>
        <sz val="14"/>
        <rFont val="Times New Roman"/>
        <family val="1"/>
        <charset val="204"/>
      </rPr>
      <t xml:space="preserve"> (суборендар ФОП Хоменко Сергій Вікторович)</t>
    </r>
  </si>
  <si>
    <r>
      <rPr>
        <sz val="14"/>
        <rFont val="Times New Roman"/>
        <family val="1"/>
        <charset val="204"/>
      </rPr>
      <t xml:space="preserve">1995302944 </t>
    </r>
    <r>
      <rPr>
        <b/>
        <i/>
        <sz val="14"/>
        <rFont val="Times New Roman"/>
        <family val="1"/>
        <charset val="204"/>
      </rPr>
      <t>(2801816984)</t>
    </r>
  </si>
  <si>
    <r>
      <t xml:space="preserve">ТОВ "Жемчужина" </t>
    </r>
    <r>
      <rPr>
        <b/>
        <i/>
        <sz val="14"/>
        <rFont val="Times New Roman"/>
        <family val="1"/>
        <charset val="204"/>
      </rPr>
      <t>(суборендар Гончаров Сергій Олександрович)</t>
    </r>
  </si>
  <si>
    <r>
      <t xml:space="preserve">31683774 </t>
    </r>
    <r>
      <rPr>
        <b/>
        <i/>
        <sz val="14"/>
        <rFont val="Times New Roman"/>
        <family val="1"/>
        <charset val="204"/>
      </rPr>
      <t>(2070801977)</t>
    </r>
  </si>
  <si>
    <r>
      <t>3022406825 (</t>
    </r>
    <r>
      <rPr>
        <b/>
        <i/>
        <sz val="14"/>
        <rFont val="Times New Roman"/>
        <family val="1"/>
        <charset val="204"/>
      </rPr>
      <t>2530510911</t>
    </r>
    <r>
      <rPr>
        <sz val="14"/>
        <rFont val="Times New Roman"/>
        <family val="1"/>
        <charset val="204"/>
      </rPr>
      <t>)</t>
    </r>
  </si>
  <si>
    <t>6510700000:01:001:1603</t>
  </si>
  <si>
    <t>№37109917</t>
  </si>
  <si>
    <t>№37109917 від 24.06.2020</t>
  </si>
  <si>
    <t>№18-21-0.182-12049/0/209-19 від 15.11.2019</t>
  </si>
  <si>
    <t>ФО Хоменко Наталя Миколаївна</t>
  </si>
  <si>
    <t xml:space="preserve">ФО Данелян Сурен Тігранович </t>
  </si>
  <si>
    <t>6510700000:01:001:1636</t>
  </si>
  <si>
    <t>№36912547 від 11.06.2020</t>
  </si>
  <si>
    <t>25.05.2020</t>
  </si>
  <si>
    <t xml:space="preserve">№36912547 </t>
  </si>
  <si>
    <t>№18-21-0.182-12117/0/209-19 від 13.12.2019</t>
  </si>
  <si>
    <t>ТОВ "Проектне бюро  "Демос"</t>
  </si>
  <si>
    <t>6510700000:02:011:0027</t>
  </si>
  <si>
    <t>№36849115 від 04.06.2020</t>
  </si>
  <si>
    <t>27.05.2020</t>
  </si>
  <si>
    <t xml:space="preserve">№36849115 </t>
  </si>
  <si>
    <t>№28-21-0.182-4511/0/209-19 від 31.01.2019</t>
  </si>
  <si>
    <t>для розміщення та обслуговування споруд підприємства по виробництву бетонних виробів малих архітектурних форм</t>
  </si>
  <si>
    <t xml:space="preserve"> 11.02</t>
  </si>
  <si>
    <t>6510700000:01:001:1495</t>
  </si>
  <si>
    <t>№36849511 від 05.06.2020</t>
  </si>
  <si>
    <t>№36849511</t>
  </si>
  <si>
    <t xml:space="preserve"> 05.06.2020</t>
  </si>
  <si>
    <t>№32-21-0.182-1805/0/209-20 від 28.05.2020</t>
  </si>
  <si>
    <t xml:space="preserve">для розміщення та обслуговування споруд по виробництву залізобетонних конструкцій </t>
  </si>
  <si>
    <t>ФО Курінний Валентин Андрійович</t>
  </si>
  <si>
    <t xml:space="preserve">ТОВ "Лофтінвестбуд" </t>
  </si>
  <si>
    <t>6510700000:01:001:1672</t>
  </si>
  <si>
    <t>№37017016 від 18.06.2020</t>
  </si>
  <si>
    <t>№42-20-юо від 02.06.2020</t>
  </si>
  <si>
    <t>№37017016</t>
  </si>
  <si>
    <t>№28-21-0.182-1593/0/209-20 від 21.04.2020</t>
  </si>
  <si>
    <t xml:space="preserve">для реконструкції нежитлової будівлі під багатоквартирний житловий будинок </t>
  </si>
  <si>
    <t>(02.03)</t>
  </si>
  <si>
    <t xml:space="preserve">ФО  Хоменко Сергій Вікторович </t>
  </si>
  <si>
    <t>6510700000:01:001:1707</t>
  </si>
  <si>
    <t>№37210808</t>
  </si>
  <si>
    <t>№37210808 від 02.07.2020</t>
  </si>
  <si>
    <t>№47-20-фо від 26.06.2020</t>
  </si>
  <si>
    <t>№18-21-0.182-1542/0/209-20 від 14.04.2020</t>
  </si>
  <si>
    <t>для будівництва та обслуговування магазину</t>
  </si>
  <si>
    <t xml:space="preserve">Для здійснення торгівельної діяльності </t>
  </si>
  <si>
    <t>(03.07)</t>
  </si>
  <si>
    <t>6510700000:01:001:1700</t>
  </si>
  <si>
    <t>№37211083</t>
  </si>
  <si>
    <t>№37211083 від 02.07.2020</t>
  </si>
  <si>
    <t>№18-21-0.182-1543/0/209-19 від 14.04.2020</t>
  </si>
  <si>
    <r>
      <t xml:space="preserve">Р.С. №2010 від 16.05.2019 - 13,06,2019; </t>
    </r>
    <r>
      <rPr>
        <b/>
        <sz val="14"/>
        <rFont val="Times New Roman"/>
        <family val="1"/>
        <charset val="204"/>
      </rPr>
      <t>(РС №2921 від 28.05.20-№60-19-фо від 05.06.2020)</t>
    </r>
  </si>
  <si>
    <r>
      <t xml:space="preserve">р.с.№829 від 25.05.2017  /13,06,2017 </t>
    </r>
    <r>
      <rPr>
        <b/>
        <sz val="14"/>
        <rFont val="Times New Roman"/>
        <family val="1"/>
        <charset val="204"/>
      </rPr>
      <t>(РС №2891 від 07.05.2020 /-09.06.2020)</t>
    </r>
  </si>
  <si>
    <t>до 07.05.2023</t>
  </si>
  <si>
    <r>
      <t>08,11,2018 (угода1),</t>
    </r>
    <r>
      <rPr>
        <b/>
        <i/>
        <sz val="14"/>
        <rFont val="Times New Roman"/>
        <family val="1"/>
        <charset val="204"/>
      </rPr>
      <t xml:space="preserve"> угода №2-31.01.2020</t>
    </r>
  </si>
  <si>
    <t>РС №2891 від 07.05.2020 - 03.06.2020</t>
  </si>
  <si>
    <t>2378501836; 2453719515; 2484717631</t>
  </si>
  <si>
    <r>
      <t xml:space="preserve">28,11,2019 (РК 20.11.2019) </t>
    </r>
    <r>
      <rPr>
        <b/>
        <sz val="14"/>
        <rFont val="Times New Roman"/>
        <family val="1"/>
        <charset val="204"/>
      </rPr>
      <t>РС №2921 від 28.05.2020- 18.06.2020)</t>
    </r>
  </si>
  <si>
    <t>№31-21-0.182-1835/0/209-20 від 04.06.2020</t>
  </si>
  <si>
    <t>6510700000:01:001:1725</t>
  </si>
  <si>
    <t>№37239893 від 06.07.2020</t>
  </si>
  <si>
    <t>22.05.2020</t>
  </si>
  <si>
    <t>№37239893</t>
  </si>
  <si>
    <t>№31-21-0.182-1823/0/209-20 від 01.06.2020</t>
  </si>
  <si>
    <t>Для розміщення нежитлових будівель і споруд боксів</t>
  </si>
  <si>
    <t>№10832354</t>
  </si>
  <si>
    <t>РС №2891 від 07.05.2020 - 13.07.2020</t>
  </si>
  <si>
    <t xml:space="preserve"> №31-21-0.182-1837/0/209-20 від 05.06.2020</t>
  </si>
  <si>
    <t>ФО Дяговець Ірина Сергіївна</t>
  </si>
  <si>
    <t>6510700000:01:001:1701</t>
  </si>
  <si>
    <t>№37252513 від 06.07.2020</t>
  </si>
  <si>
    <t>24.06.2020</t>
  </si>
  <si>
    <t>№37252513</t>
  </si>
  <si>
    <t>№18-21-0.182-1544/0/209-20 від 14.04.2020</t>
  </si>
  <si>
    <t xml:space="preserve">буд-во будівельної бази </t>
  </si>
  <si>
    <t>ФО Крименчук Олександр Сергійович</t>
  </si>
  <si>
    <t>№37274764 від 07.07.2020</t>
  </si>
  <si>
    <t>05.06.2020</t>
  </si>
  <si>
    <t>№37274764</t>
  </si>
  <si>
    <t>№31-21-0.182-1841/0/209-20 від 06.06.2020</t>
  </si>
  <si>
    <t>до 28.05.2021</t>
  </si>
  <si>
    <t>11.06.2020 (19,01,2010)</t>
  </si>
  <si>
    <t>№37127682</t>
  </si>
  <si>
    <t xml:space="preserve"> 25.06.2020</t>
  </si>
  <si>
    <t>РС 28.05.2020 №2921 (22.06.2020)</t>
  </si>
  <si>
    <t>28,05.2022</t>
  </si>
  <si>
    <t>16.07.2015</t>
  </si>
  <si>
    <t>11.08.2014</t>
  </si>
  <si>
    <r>
      <t>№6728878 від 19.08.2014</t>
    </r>
    <r>
      <rPr>
        <b/>
        <i/>
        <sz val="14"/>
        <rFont val="Times New Roman"/>
        <family val="1"/>
        <charset val="204"/>
      </rPr>
      <t xml:space="preserve"> (№18802319 від 26.01.2017)</t>
    </r>
  </si>
  <si>
    <r>
      <t xml:space="preserve">№6728878 </t>
    </r>
    <r>
      <rPr>
        <b/>
        <i/>
        <sz val="14"/>
        <rFont val="Times New Roman"/>
        <family val="1"/>
        <charset val="204"/>
      </rPr>
      <t>(№18802319)</t>
    </r>
  </si>
  <si>
    <r>
      <t>19,08,2014 (</t>
    </r>
    <r>
      <rPr>
        <b/>
        <i/>
        <sz val="14"/>
        <rFont val="Times New Roman"/>
        <family val="1"/>
        <charset val="204"/>
      </rPr>
      <t>26.01.2017)</t>
    </r>
  </si>
  <si>
    <r>
      <rPr>
        <sz val="14"/>
        <rFont val="Times New Roman"/>
        <family val="1"/>
        <charset val="204"/>
      </rPr>
      <t>Бондаренко Раїса Андріївна</t>
    </r>
    <r>
      <rPr>
        <b/>
        <sz val="14"/>
        <rFont val="Times New Roman"/>
        <family val="1"/>
        <charset val="204"/>
      </rPr>
      <t xml:space="preserve">  (суборенда Бондаренко Н.В.)</t>
    </r>
  </si>
  <si>
    <t>ТОВ "ВІЛАР-ВІКТОРІЯ"</t>
  </si>
  <si>
    <t>6510700000:01:001:1670</t>
  </si>
  <si>
    <t>№37440511 від 16.07.2020</t>
  </si>
  <si>
    <t>№49-20-ЮО від 08.07.2020</t>
  </si>
  <si>
    <t xml:space="preserve">№37440511 </t>
  </si>
  <si>
    <t>№18-21-0.182-1423/0/209-20 від 12.03.2020</t>
  </si>
  <si>
    <t>АТ "Херсонгаз"</t>
  </si>
  <si>
    <t>6510700000:01:001:1680</t>
  </si>
  <si>
    <t>№37672612 від 31.07.2020</t>
  </si>
  <si>
    <t>26.06.2020</t>
  </si>
  <si>
    <t>№37672612</t>
  </si>
  <si>
    <t>№18-21-0.182-1622/0/209-20 від 22.04.2020</t>
  </si>
  <si>
    <t>6510700000:01:001:1604</t>
  </si>
  <si>
    <t>№37501148 від 22.07.2020</t>
  </si>
  <si>
    <t>10.07.2020</t>
  </si>
  <si>
    <t>№24736489 від 05.02.2018</t>
  </si>
  <si>
    <t xml:space="preserve">№37501148 </t>
  </si>
  <si>
    <t>№18-21-0.182-12050/209-19 від 15.11.2019</t>
  </si>
  <si>
    <t>№37127682 від 25.06.2020</t>
  </si>
  <si>
    <t>6510700000:01:001:1789</t>
  </si>
  <si>
    <t>№37892809 від 19.08.2020</t>
  </si>
  <si>
    <t>23.07.2020</t>
  </si>
  <si>
    <t>№37892809</t>
  </si>
  <si>
    <t>№31-21-0.182-2025/0/209-20 від 13.07.2020</t>
  </si>
  <si>
    <t>6510700000:01:001:1717</t>
  </si>
  <si>
    <t>№37910941 від 19.08.2020</t>
  </si>
  <si>
    <t>05.08.2020</t>
  </si>
  <si>
    <t>№37910941</t>
  </si>
  <si>
    <t>№18-21-0.182-1789/209-20 від 25.05.2020</t>
  </si>
  <si>
    <t>ФО Довбня Андрій Миколайович</t>
  </si>
  <si>
    <t>№37892504 від 19.08.2020</t>
  </si>
  <si>
    <t>№37892504</t>
  </si>
  <si>
    <t>ФО Лепень Ірена Вікторівна</t>
  </si>
  <si>
    <t>6510700000:01:001:1724</t>
  </si>
  <si>
    <t>№37842106 від 17.08.2020</t>
  </si>
  <si>
    <t>07.08.2020</t>
  </si>
  <si>
    <t xml:space="preserve">№37842106 </t>
  </si>
  <si>
    <t>№18-21-0.182-1790/0/209-20 від 25.05.2020</t>
  </si>
  <si>
    <t xml:space="preserve">Для буд-ва та обслуговування багатоквартирного житлового будинку </t>
  </si>
  <si>
    <t>3,0     1,05</t>
  </si>
  <si>
    <t>8; 1,05</t>
  </si>
  <si>
    <t>10; 1,05</t>
  </si>
  <si>
    <t>РС №2921 від 28.05.2020 (06.08.2020)</t>
  </si>
  <si>
    <t>РС 26.03.2020 №2768 (17.08.2020)</t>
  </si>
  <si>
    <t>офіс  (фактично-магазин)</t>
  </si>
  <si>
    <t>РС №3047 від 23.07.2020 (28.08.2020)</t>
  </si>
  <si>
    <t>6510700000:01:001:1825</t>
  </si>
  <si>
    <t>№38231952 від 11.09.2020</t>
  </si>
  <si>
    <t>03.09.2020</t>
  </si>
  <si>
    <t>№38231952</t>
  </si>
  <si>
    <t>№31-21-0.182-2375/0/209-20 від 01.09.2020</t>
  </si>
  <si>
    <t>6510700000:01:001:1826</t>
  </si>
  <si>
    <t>№38231357 від 11.09.2020</t>
  </si>
  <si>
    <t xml:space="preserve">№38231357 </t>
  </si>
  <si>
    <t>№31-21-0.182-2376/0/209-20 від 01.09.2020</t>
  </si>
  <si>
    <t xml:space="preserve">Гр. Михайленко Олена Дмитрівна </t>
  </si>
  <si>
    <t>6510700000:01:001:0723</t>
  </si>
  <si>
    <t>№38218479 від 11.09.2020</t>
  </si>
  <si>
    <t>24.07.2020</t>
  </si>
  <si>
    <t>№38218479</t>
  </si>
  <si>
    <t>№31-21-0.182-2105/0/209-20 від 24.07.2020</t>
  </si>
  <si>
    <t>Жилий будинок, господарські будівлі та споруди</t>
  </si>
  <si>
    <t xml:space="preserve"> 02.01</t>
  </si>
  <si>
    <t xml:space="preserve">гр. Рудницька Світлана Миколаївна </t>
  </si>
  <si>
    <t>6510700000:01:001:1640</t>
  </si>
  <si>
    <t>№37946620 від 22.08.2020</t>
  </si>
  <si>
    <t>31.07.2020</t>
  </si>
  <si>
    <t xml:space="preserve">№37946620 </t>
  </si>
  <si>
    <t>№31-21-0.182-2169/0/209-20 від 31.07.2020</t>
  </si>
  <si>
    <t>02.01.</t>
  </si>
  <si>
    <t>ТОВ "АГРОБІЗНЕС"</t>
  </si>
  <si>
    <t>6510700000:01:001:1720</t>
  </si>
  <si>
    <t>№38105205 від 07.09.2020</t>
  </si>
  <si>
    <t>№53-20-юо від 17.07.2020</t>
  </si>
  <si>
    <t>№38105205</t>
  </si>
  <si>
    <t>№31-21-0.182-2052/0/209-20 від 17.07.2020</t>
  </si>
  <si>
    <t>Для розміщення та обслуговування офісу</t>
  </si>
  <si>
    <t>гр. Абрамян Христина Вагенаківна</t>
  </si>
  <si>
    <t>6510700000:01:001:1742</t>
  </si>
  <si>
    <t>№38398717 від 22.09.2020</t>
  </si>
  <si>
    <t>№45-20-фо від 24.06.2020</t>
  </si>
  <si>
    <t>№79-20-фо від 16.09.2020</t>
  </si>
  <si>
    <t>№38398717</t>
  </si>
  <si>
    <t>№18-21-0.182-2017/0/209-20 від 09.07.2020</t>
  </si>
  <si>
    <t>ФО Чумакова Юлія Вікторівна</t>
  </si>
  <si>
    <t>6510700000:01:001:1133</t>
  </si>
  <si>
    <t>№38352003 від 18.09.2020</t>
  </si>
  <si>
    <t>№38352003</t>
  </si>
  <si>
    <t xml:space="preserve">ТОВ "РОСТДОРСТРОЙ" </t>
  </si>
  <si>
    <t>6510700000:01:001:1781</t>
  </si>
  <si>
    <t>№38446593 від 25.09.2020</t>
  </si>
  <si>
    <t>№78-20-ЮО</t>
  </si>
  <si>
    <t xml:space="preserve">№38446593 </t>
  </si>
  <si>
    <t>№18-21-0.182-1980/0/209-20 від 01.07.2020</t>
  </si>
  <si>
    <t>Для розміщення та обслуговування виробничих будівель і споруд</t>
  </si>
  <si>
    <t>6510700000:01:001:1760</t>
  </si>
  <si>
    <t>№38490999 від 26.09.2020</t>
  </si>
  <si>
    <t xml:space="preserve">№38490999 </t>
  </si>
  <si>
    <t>№32-21-0.182-2201/0/209-20 від 06.08.2020</t>
  </si>
  <si>
    <t>6510700000:01:001:1750</t>
  </si>
  <si>
    <t>№38490724 від 26.09.2020</t>
  </si>
  <si>
    <t xml:space="preserve">№38490724 </t>
  </si>
  <si>
    <t>№32-21-0.182-2194/0/209-20 від 06.08.2020</t>
  </si>
  <si>
    <t>№61-20-юо від 06.08.2020</t>
  </si>
  <si>
    <t>№62-20-юо від 06.08.2020</t>
  </si>
  <si>
    <t>6510700000:01:001:1753</t>
  </si>
  <si>
    <t>№38491607 від 26.09.2020</t>
  </si>
  <si>
    <t>06.08.2020 №65-20-фо</t>
  </si>
  <si>
    <t xml:space="preserve">№38491607 </t>
  </si>
  <si>
    <t>№31-21-0.182-2198/0/209-20 від 06.08.2020</t>
  </si>
  <si>
    <t>6510700000:01:001:1761</t>
  </si>
  <si>
    <t>№38491513 від 26.09.2020</t>
  </si>
  <si>
    <t>06.08.2020 №67-20-фо</t>
  </si>
  <si>
    <t>№38491513</t>
  </si>
  <si>
    <t>№31-21-0.182-2199/0/209-20 від 06.08.2020</t>
  </si>
  <si>
    <t>6510700000:01:001:1751</t>
  </si>
  <si>
    <t>№38491174 від 26.09.2020</t>
  </si>
  <si>
    <t>06.08.2020 №66-20-фо</t>
  </si>
  <si>
    <t xml:space="preserve">№38491174 </t>
  </si>
  <si>
    <t>№31-21-0.182-2196/0/209-20 від 06.08.2020</t>
  </si>
  <si>
    <r>
      <t>ФОП Мовчан Сергій Іванович</t>
    </r>
    <r>
      <rPr>
        <b/>
        <i/>
        <sz val="14"/>
        <rFont val="Times New Roman"/>
        <family val="1"/>
        <charset val="204"/>
      </rPr>
      <t xml:space="preserve"> (суборендар ТОВ "ТРОЯ-НК")</t>
    </r>
  </si>
  <si>
    <r>
      <t xml:space="preserve">2438910296 </t>
    </r>
    <r>
      <rPr>
        <b/>
        <i/>
        <sz val="14"/>
        <rFont val="Times New Roman"/>
        <family val="1"/>
        <charset val="204"/>
      </rPr>
      <t>(40802474)</t>
    </r>
  </si>
  <si>
    <t>6510700000:01:001:1752</t>
  </si>
  <si>
    <t>№38491378 від 26.09.2020</t>
  </si>
  <si>
    <t>06.08.2020 №64-20-фо</t>
  </si>
  <si>
    <t>№38491378</t>
  </si>
  <si>
    <t>№31-21-0.182-2197/0/209-20 від 06.08.2020</t>
  </si>
  <si>
    <t xml:space="preserve">6510700000:01:001:1137 </t>
  </si>
  <si>
    <t>№38516273</t>
  </si>
  <si>
    <t>№38516273 від 28.09.2020</t>
  </si>
  <si>
    <t>03.09.2020 №72-20-фо</t>
  </si>
  <si>
    <t>№31-21-0.182-2385/0/209-20 від 02.09.2020</t>
  </si>
  <si>
    <t>ФОП Крамар Олександр Іванович</t>
  </si>
  <si>
    <t xml:space="preserve"> ФОП Бочаров Олександр Олександрович </t>
  </si>
  <si>
    <t xml:space="preserve">6510700000:01:001:1136 </t>
  </si>
  <si>
    <t>№38515460</t>
  </si>
  <si>
    <t>№38515460 від 28.09.2020</t>
  </si>
  <si>
    <t>№31-21-0.182-2386/209-20 від 02.09.2020</t>
  </si>
  <si>
    <t xml:space="preserve"> 23,04,2018 №625 від 15.12.2016 (Р.С. 07.02.2018 - 25,03,2019); РС №2768 від 26.03.2020-02.07.2020</t>
  </si>
  <si>
    <t>23,04,2018 (Р.с. 07.02.2019 - 25,03,2019);  РС №2768 від 26.03.2020-02.07.2020</t>
  </si>
  <si>
    <t xml:space="preserve">6510700000:01:001:1134 </t>
  </si>
  <si>
    <t>№38514738 від 28.09.2020</t>
  </si>
  <si>
    <t>№38514738</t>
  </si>
  <si>
    <t>№31-21-0.182-2388/209-20 від 02.09.2020</t>
  </si>
  <si>
    <t>ФОП Бродський Вадим Вікторович</t>
  </si>
  <si>
    <t xml:space="preserve">гр. Гапич Людмила Григорівна </t>
  </si>
  <si>
    <t>651070000:01:001:1770</t>
  </si>
  <si>
    <t>№38539357 від 29.09.2020</t>
  </si>
  <si>
    <t>11.09.2020</t>
  </si>
  <si>
    <t>№38539357</t>
  </si>
  <si>
    <t>№18-21-0.182-2435/0/209-20 від 11.09.2020</t>
  </si>
  <si>
    <t>04.09.2020</t>
  </si>
  <si>
    <t>№38572001</t>
  </si>
  <si>
    <t>№31-21-0.182-2390/0/209-20 від 04.09.2020</t>
  </si>
  <si>
    <t>№38572001 від 01.10.2021</t>
  </si>
  <si>
    <t xml:space="preserve">для розміщення та обслуговування багатоквартирного житлового будинку </t>
  </si>
  <si>
    <t>№38595649 від 05.10.2020</t>
  </si>
  <si>
    <t>№38595649</t>
  </si>
  <si>
    <t>6510700000:01:017:0040</t>
  </si>
  <si>
    <t>6510700000:01:016:0047</t>
  </si>
  <si>
    <t>6510700000:11:046:0028</t>
  </si>
  <si>
    <t xml:space="preserve"> №28-21-0.182-2465/0/209-20 17.09.2020</t>
  </si>
  <si>
    <t>№31-21-0.182-2582/0/209-20 від 15.10.2020</t>
  </si>
  <si>
    <t>№24954459 від 19.02.2018</t>
  </si>
  <si>
    <t>№24954459</t>
  </si>
  <si>
    <t>ФО Качмарик Тамара Анатоліївна</t>
  </si>
  <si>
    <t>№18759997 від 24.01.2017</t>
  </si>
  <si>
    <t>№18759997</t>
  </si>
  <si>
    <t>6510700000:01:001:1135</t>
  </si>
  <si>
    <t>№38509332 від 28.09.2020</t>
  </si>
  <si>
    <t>№38509332</t>
  </si>
  <si>
    <t>№31-21-0.182-2387/0/209-20 від 02.09.2020</t>
  </si>
  <si>
    <r>
      <t>Р</t>
    </r>
    <r>
      <rPr>
        <sz val="14"/>
        <rFont val="Times New Roman"/>
        <family val="1"/>
        <charset val="204"/>
      </rPr>
      <t>С №2768 від 26.03.2020 - 15.07.2020</t>
    </r>
  </si>
  <si>
    <r>
      <t>ФО Слоїк Оксана Арсентіївна</t>
    </r>
    <r>
      <rPr>
        <b/>
        <i/>
        <sz val="14"/>
        <rFont val="Times New Roman"/>
        <family val="1"/>
        <charset val="204"/>
      </rPr>
      <t xml:space="preserve"> (суборендар ФО Абрамова Світлана Баніпалівна)</t>
    </r>
  </si>
  <si>
    <r>
      <t>2482411189,</t>
    </r>
    <r>
      <rPr>
        <b/>
        <i/>
        <sz val="14"/>
        <rFont val="Times New Roman"/>
        <family val="1"/>
        <charset val="204"/>
      </rPr>
      <t xml:space="preserve"> (3064500101)</t>
    </r>
  </si>
  <si>
    <r>
      <t xml:space="preserve">№15687969 від 27.07.2016 </t>
    </r>
    <r>
      <rPr>
        <b/>
        <i/>
        <sz val="14"/>
        <rFont val="Times New Roman"/>
        <family val="1"/>
        <charset val="204"/>
      </rPr>
      <t>(№35199307 від 22.01.2020)</t>
    </r>
  </si>
  <si>
    <r>
      <t>28.04.2016</t>
    </r>
    <r>
      <rPr>
        <b/>
        <i/>
        <sz val="14"/>
        <rFont val="Times New Roman"/>
        <family val="1"/>
        <charset val="204"/>
      </rPr>
      <t xml:space="preserve"> (11,01,2020)</t>
    </r>
  </si>
  <si>
    <r>
      <t xml:space="preserve">№15687969 </t>
    </r>
    <r>
      <rPr>
        <b/>
        <i/>
        <sz val="14"/>
        <rFont val="Times New Roman"/>
        <family val="1"/>
        <charset val="204"/>
      </rPr>
      <t>(№35199307 )</t>
    </r>
  </si>
  <si>
    <r>
      <t>27.07.2016 (</t>
    </r>
    <r>
      <rPr>
        <b/>
        <i/>
        <sz val="14"/>
        <rFont val="Times New Roman"/>
        <family val="1"/>
        <charset val="204"/>
      </rPr>
      <t>22.01.2020)</t>
    </r>
  </si>
  <si>
    <t>Грошова оцінка земельної ділянки,гривень</t>
  </si>
  <si>
    <t>Розмір орендної плати, грн/ рік</t>
  </si>
  <si>
    <t>Термін дії договору, рік</t>
  </si>
  <si>
    <t>Об҆єкт на земельній ділянці</t>
  </si>
  <si>
    <t xml:space="preserve"> Оперативна інформація про оренду земель несільськогосподарського призначення по м. Нова Каховка станом на 01.11.2020 року</t>
  </si>
  <si>
    <t>Грай 9 00 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</si>
</sst>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_-* #,##0.00\ _₽_-;\-* #,##0.00\ _₽_-;_-* &quot;-&quot;??\ _₽_-;_-@_-"/>
    <numFmt numFmtId="165" formatCode="0.00;[Red]0.00"/>
    <numFmt numFmtId="166" formatCode="0.0000"/>
    <numFmt numFmtId="167" formatCode="0.0000;[Red]0.0000"/>
    <numFmt numFmtId="168" formatCode="0.0"/>
    <numFmt numFmtId="169" formatCode="d/m/yy"/>
    <numFmt numFmtId="170" formatCode="0.000"/>
    <numFmt numFmtId="171" formatCode="_-* #,##0.00\ &quot;грн.&quot;_-;\-* #,##0.00\ &quot;грн.&quot;_-;_-* &quot;-&quot;??\ &quot;грн.&quot;_-;_-@_-"/>
    <numFmt numFmtId="172" formatCode="0;[Red]0"/>
    <numFmt numFmtId="173" formatCode="_-* #,##0\ _₽_-;\-* #,##0\ _₽_-;_-* &quot;-&quot;??\ _₽_-;_-@_-"/>
  </numFmts>
  <fonts count="15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i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.5"/>
      <name val="Courier New"/>
      <family val="3"/>
      <charset val="204"/>
    </font>
    <font>
      <sz val="14"/>
      <color indexed="8"/>
      <name val="Times New Roman"/>
      <family val="1"/>
      <charset val="204"/>
    </font>
    <font>
      <sz val="10"/>
      <name val="Arial"/>
      <family val="2"/>
      <charset val="204"/>
    </font>
    <font>
      <sz val="14"/>
      <color rgb="FFFF0000"/>
      <name val="Times New Roman"/>
      <family val="1"/>
      <charset val="204"/>
    </font>
    <font>
      <sz val="12"/>
      <name val="Arial"/>
      <family val="2"/>
      <charset val="204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sz val="14"/>
      <color rgb="FF92D050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Arial"/>
      <family val="2"/>
      <charset val="204"/>
    </font>
    <font>
      <b/>
      <i/>
      <sz val="12"/>
      <name val="Times New Roman"/>
      <family val="1"/>
      <charset val="204"/>
    </font>
    <font>
      <sz val="12"/>
      <name val="Arial Cyr"/>
      <charset val="204"/>
    </font>
    <font>
      <sz val="14"/>
      <name val="Arial Cyr"/>
      <charset val="204"/>
    </font>
    <font>
      <sz val="13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rgb="FF92D050"/>
      <name val="Arial"/>
      <family val="2"/>
      <charset val="204"/>
    </font>
    <font>
      <sz val="14"/>
      <color rgb="FF00B050"/>
      <name val="Times New Roman"/>
      <family val="1"/>
      <charset val="204"/>
    </font>
    <font>
      <sz val="11"/>
      <color rgb="FF00B050"/>
      <name val="Calibri"/>
      <family val="2"/>
      <charset val="204"/>
      <scheme val="minor"/>
    </font>
    <font>
      <sz val="14"/>
      <color rgb="FF00B050"/>
      <name val="Arial"/>
      <family val="2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92D05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b/>
      <i/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2"/>
      <color rgb="FF00B050"/>
      <name val="Calibri"/>
      <family val="2"/>
      <charset val="204"/>
      <scheme val="minor"/>
    </font>
    <font>
      <b/>
      <sz val="12"/>
      <name val="Calibri"/>
      <family val="2"/>
      <charset val="204"/>
      <scheme val="minor"/>
    </font>
    <font>
      <sz val="12"/>
      <color rgb="FF92D050"/>
      <name val="Calibri"/>
      <family val="2"/>
      <charset val="204"/>
      <scheme val="minor"/>
    </font>
    <font>
      <b/>
      <sz val="12"/>
      <color rgb="FF00B050"/>
      <name val="Calibri"/>
      <family val="2"/>
      <charset val="204"/>
      <scheme val="minor"/>
    </font>
    <font>
      <sz val="10.5"/>
      <color theme="1"/>
      <name val="Courier New"/>
      <family val="3"/>
      <charset val="204"/>
    </font>
    <font>
      <i/>
      <sz val="11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2"/>
      <name val="Calibri"/>
      <family val="2"/>
      <charset val="204"/>
      <scheme val="minor"/>
    </font>
    <font>
      <b/>
      <sz val="12"/>
      <color rgb="FFFF0000"/>
      <name val="Calibri"/>
      <family val="2"/>
      <charset val="204"/>
      <scheme val="minor"/>
    </font>
    <font>
      <b/>
      <sz val="14"/>
      <color rgb="FF92D050"/>
      <name val="Arial"/>
      <family val="2"/>
      <charset val="204"/>
    </font>
    <font>
      <sz val="14"/>
      <color rgb="FFFF0000"/>
      <name val="Arial"/>
      <family val="2"/>
      <charset val="204"/>
    </font>
    <font>
      <sz val="11"/>
      <color rgb="FFFFC000"/>
      <name val="Calibri"/>
      <family val="2"/>
      <charset val="204"/>
      <scheme val="minor"/>
    </font>
    <font>
      <sz val="12"/>
      <color rgb="FFFFC000"/>
      <name val="Calibri"/>
      <family val="2"/>
      <charset val="204"/>
      <scheme val="minor"/>
    </font>
    <font>
      <b/>
      <sz val="11"/>
      <color rgb="FF0070C0"/>
      <name val="Calibri"/>
      <family val="2"/>
      <charset val="204"/>
      <scheme val="minor"/>
    </font>
    <font>
      <sz val="16"/>
      <name val="Arial"/>
      <family val="2"/>
      <charset val="204"/>
    </font>
    <font>
      <sz val="14"/>
      <color rgb="FF00B0F0"/>
      <name val="Times New Roman"/>
      <family val="1"/>
      <charset val="204"/>
    </font>
    <font>
      <sz val="12"/>
      <color rgb="FF00B0F0"/>
      <name val="Calibri"/>
      <family val="2"/>
      <charset val="204"/>
      <scheme val="minor"/>
    </font>
    <font>
      <b/>
      <sz val="12"/>
      <color rgb="FF00B0F0"/>
      <name val="Calibri"/>
      <family val="2"/>
      <charset val="204"/>
      <scheme val="minor"/>
    </font>
    <font>
      <sz val="11"/>
      <color rgb="FF00B0F0"/>
      <name val="Calibri"/>
      <family val="2"/>
      <charset val="204"/>
      <scheme val="minor"/>
    </font>
    <font>
      <b/>
      <sz val="12"/>
      <color rgb="FF7030A0"/>
      <name val="Calibri"/>
      <family val="2"/>
      <charset val="204"/>
      <scheme val="minor"/>
    </font>
    <font>
      <b/>
      <sz val="14"/>
      <color rgb="FF7030A0"/>
      <name val="Times New Roman"/>
      <family val="1"/>
      <charset val="204"/>
    </font>
    <font>
      <b/>
      <sz val="11"/>
      <color rgb="FF7030A0"/>
      <name val="Calibri"/>
      <family val="2"/>
      <charset val="204"/>
      <scheme val="minor"/>
    </font>
    <font>
      <sz val="12"/>
      <color rgb="FF7030A0"/>
      <name val="Calibri"/>
      <family val="2"/>
      <charset val="204"/>
      <scheme val="minor"/>
    </font>
    <font>
      <b/>
      <sz val="11"/>
      <color rgb="FF00B0F0"/>
      <name val="Calibri"/>
      <family val="2"/>
      <charset val="204"/>
      <scheme val="minor"/>
    </font>
    <font>
      <sz val="10.5"/>
      <color rgb="FF00B0F0"/>
      <name val="Courier New"/>
      <family val="3"/>
      <charset val="204"/>
    </font>
    <font>
      <i/>
      <sz val="11"/>
      <name val="Calibri"/>
      <family val="2"/>
      <charset val="204"/>
      <scheme val="minor"/>
    </font>
    <font>
      <sz val="14"/>
      <color rgb="FFC00000"/>
      <name val="Times New Roman"/>
      <family val="1"/>
      <charset val="204"/>
    </font>
    <font>
      <sz val="12"/>
      <color rgb="FFC00000"/>
      <name val="Calibri"/>
      <family val="2"/>
      <charset val="204"/>
      <scheme val="minor"/>
    </font>
    <font>
      <sz val="11"/>
      <color rgb="FFC00000"/>
      <name val="Calibri"/>
      <family val="2"/>
      <charset val="204"/>
      <scheme val="minor"/>
    </font>
    <font>
      <b/>
      <sz val="12"/>
      <color rgb="FFC00000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sz val="14"/>
      <color rgb="FFFFC000"/>
      <name val="Times New Roman"/>
      <family val="1"/>
      <charset val="204"/>
    </font>
    <font>
      <b/>
      <sz val="12"/>
      <color rgb="FF92D050"/>
      <name val="Calibri"/>
      <family val="2"/>
      <charset val="204"/>
      <scheme val="minor"/>
    </font>
    <font>
      <b/>
      <sz val="14"/>
      <color rgb="FF92D050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2"/>
      <color rgb="FFFFC000"/>
      <name val="Calibri"/>
      <family val="2"/>
      <charset val="204"/>
      <scheme val="minor"/>
    </font>
    <font>
      <b/>
      <sz val="14"/>
      <name val="Arial Cyr"/>
      <family val="2"/>
      <charset val="204"/>
    </font>
    <font>
      <b/>
      <sz val="14"/>
      <color rgb="FF00B050"/>
      <name val="Times New Roman"/>
      <family val="1"/>
      <charset val="204"/>
    </font>
    <font>
      <b/>
      <i/>
      <sz val="14"/>
      <color rgb="FFFF0000"/>
      <name val="Times New Roman"/>
      <family val="1"/>
      <charset val="204"/>
    </font>
    <font>
      <b/>
      <sz val="12"/>
      <name val="Arial Cyr"/>
      <charset val="204"/>
    </font>
    <font>
      <sz val="12"/>
      <color theme="1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4"/>
      <color rgb="FFFF0000"/>
      <name val="Arial Cyr"/>
      <charset val="204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rgb="FF00B050"/>
      <name val="Calibri"/>
      <family val="2"/>
      <charset val="204"/>
      <scheme val="minor"/>
    </font>
    <font>
      <b/>
      <i/>
      <sz val="12"/>
      <color rgb="FF92D050"/>
      <name val="Calibri"/>
      <family val="2"/>
      <charset val="204"/>
      <scheme val="minor"/>
    </font>
    <font>
      <b/>
      <sz val="10.5"/>
      <color theme="1"/>
      <name val="Courier New"/>
      <family val="3"/>
      <charset val="204"/>
    </font>
    <font>
      <b/>
      <sz val="10.5"/>
      <name val="Courier New"/>
      <family val="3"/>
      <charset val="204"/>
    </font>
    <font>
      <b/>
      <i/>
      <sz val="16"/>
      <color theme="1"/>
      <name val="Calibri"/>
      <family val="2"/>
      <charset val="204"/>
      <scheme val="minor"/>
    </font>
    <font>
      <i/>
      <sz val="12"/>
      <color rgb="FFFF0000"/>
      <name val="Calibri"/>
      <family val="2"/>
      <charset val="204"/>
      <scheme val="minor"/>
    </font>
    <font>
      <b/>
      <i/>
      <sz val="12"/>
      <color rgb="FF00B0F0"/>
      <name val="Calibri"/>
      <family val="2"/>
      <charset val="204"/>
      <scheme val="minor"/>
    </font>
    <font>
      <sz val="14"/>
      <color rgb="FF00B0F0"/>
      <name val="Arial"/>
      <family val="2"/>
      <charset val="204"/>
    </font>
    <font>
      <sz val="12"/>
      <color rgb="FF00B0F0"/>
      <name val="Arial Cyr"/>
      <charset val="204"/>
    </font>
    <font>
      <sz val="10.5"/>
      <color rgb="FFFF0000"/>
      <name val="Courier New"/>
      <family val="3"/>
      <charset val="204"/>
    </font>
    <font>
      <i/>
      <sz val="12"/>
      <color rgb="FF00B0F0"/>
      <name val="Calibri"/>
      <family val="2"/>
      <charset val="204"/>
      <scheme val="minor"/>
    </font>
    <font>
      <sz val="14"/>
      <color rgb="FF00B0F0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rgb="FFFF0000"/>
      <name val="Calibri"/>
      <family val="2"/>
      <charset val="204"/>
      <scheme val="minor"/>
    </font>
    <font>
      <i/>
      <sz val="14"/>
      <color theme="1"/>
      <name val="Calibri"/>
      <family val="2"/>
      <charset val="204"/>
      <scheme val="minor"/>
    </font>
    <font>
      <b/>
      <sz val="14"/>
      <color rgb="FF00B0F0"/>
      <name val="Times New Roman"/>
      <family val="1"/>
      <charset val="204"/>
    </font>
    <font>
      <i/>
      <sz val="16"/>
      <color theme="1"/>
      <name val="Calibri"/>
      <family val="2"/>
      <charset val="204"/>
      <scheme val="minor"/>
    </font>
    <font>
      <b/>
      <sz val="14"/>
      <color rgb="FF00B0F0"/>
      <name val="Calibri"/>
      <family val="2"/>
      <charset val="204"/>
      <scheme val="minor"/>
    </font>
    <font>
      <b/>
      <sz val="10.5"/>
      <color rgb="FF00B0F0"/>
      <name val="Courier New"/>
      <family val="3"/>
      <charset val="204"/>
    </font>
    <font>
      <b/>
      <sz val="14"/>
      <name val="Calibri"/>
      <family val="2"/>
      <charset val="204"/>
      <scheme val="minor"/>
    </font>
    <font>
      <b/>
      <i/>
      <sz val="14"/>
      <name val="Calibri"/>
      <family val="2"/>
      <charset val="204"/>
      <scheme val="minor"/>
    </font>
    <font>
      <b/>
      <sz val="16"/>
      <name val="Calibri"/>
      <family val="2"/>
      <charset val="204"/>
      <scheme val="minor"/>
    </font>
    <font>
      <b/>
      <i/>
      <sz val="16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6"/>
      <color rgb="FFFF0000"/>
      <name val="Calibri"/>
      <family val="2"/>
      <charset val="204"/>
      <scheme val="minor"/>
    </font>
    <font>
      <b/>
      <sz val="16"/>
      <color rgb="FF00B0F0"/>
      <name val="Calibri"/>
      <family val="2"/>
      <charset val="204"/>
      <scheme val="minor"/>
    </font>
    <font>
      <b/>
      <sz val="16"/>
      <color rgb="FFFFC000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4"/>
      <color rgb="FF7030A0"/>
      <name val="Calibri"/>
      <family val="2"/>
      <charset val="204"/>
      <scheme val="minor"/>
    </font>
    <font>
      <b/>
      <sz val="14"/>
      <color rgb="FF00B050"/>
      <name val="Calibri"/>
      <family val="2"/>
      <charset val="204"/>
      <scheme val="minor"/>
    </font>
    <font>
      <b/>
      <sz val="14"/>
      <color rgb="FFC00000"/>
      <name val="Calibri"/>
      <family val="2"/>
      <charset val="204"/>
      <scheme val="minor"/>
    </font>
    <font>
      <b/>
      <sz val="14"/>
      <color rgb="FFFFC000"/>
      <name val="Calibri"/>
      <family val="2"/>
      <charset val="204"/>
      <scheme val="minor"/>
    </font>
    <font>
      <b/>
      <sz val="16"/>
      <color rgb="FF00B050"/>
      <name val="Calibri"/>
      <family val="2"/>
      <charset val="204"/>
      <scheme val="minor"/>
    </font>
    <font>
      <b/>
      <sz val="16"/>
      <color rgb="FF7030A0"/>
      <name val="Calibri"/>
      <family val="2"/>
      <charset val="204"/>
      <scheme val="minor"/>
    </font>
    <font>
      <b/>
      <sz val="16"/>
      <color rgb="FFC00000"/>
      <name val="Calibri"/>
      <family val="2"/>
      <charset val="204"/>
      <scheme val="minor"/>
    </font>
    <font>
      <b/>
      <i/>
      <sz val="16"/>
      <name val="Times New Roman"/>
      <family val="1"/>
      <charset val="204"/>
    </font>
    <font>
      <b/>
      <i/>
      <sz val="16"/>
      <color rgb="FFFF0000"/>
      <name val="Times New Roman"/>
      <family val="1"/>
      <charset val="204"/>
    </font>
    <font>
      <b/>
      <i/>
      <sz val="16"/>
      <name val="Arial"/>
      <family val="2"/>
      <charset val="204"/>
    </font>
    <font>
      <b/>
      <i/>
      <sz val="14"/>
      <color rgb="FFFF0000"/>
      <name val="Calibri"/>
      <family val="2"/>
      <charset val="204"/>
      <scheme val="minor"/>
    </font>
    <font>
      <b/>
      <sz val="14"/>
      <color rgb="FFFF0000"/>
      <name val="Arial"/>
      <family val="2"/>
      <charset val="204"/>
    </font>
    <font>
      <i/>
      <sz val="12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3"/>
      <name val="Calibri"/>
      <family val="2"/>
      <charset val="204"/>
      <scheme val="minor"/>
    </font>
    <font>
      <sz val="13"/>
      <name val="Arial"/>
      <family val="2"/>
      <charset val="204"/>
    </font>
    <font>
      <sz val="14"/>
      <name val="Arial Cyr"/>
      <family val="2"/>
      <charset val="204"/>
    </font>
    <font>
      <sz val="16"/>
      <name val="Times New Roman"/>
      <family val="1"/>
      <charset val="204"/>
    </font>
    <font>
      <b/>
      <sz val="18"/>
      <name val="Calibri"/>
      <family val="2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</fills>
  <borders count="28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3">
    <xf numFmtId="0" fontId="0" fillId="0" borderId="0"/>
    <xf numFmtId="0" fontId="8" fillId="0" borderId="0"/>
    <xf numFmtId="0" fontId="9" fillId="0" borderId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12" borderId="0" applyNumberFormat="0" applyBorder="0" applyAlignment="0" applyProtection="0"/>
    <xf numFmtId="0" fontId="11" fillId="6" borderId="10" applyNumberFormat="0" applyAlignment="0" applyProtection="0"/>
    <xf numFmtId="0" fontId="12" fillId="13" borderId="11" applyNumberFormat="0" applyAlignment="0" applyProtection="0"/>
    <xf numFmtId="0" fontId="13" fillId="13" borderId="10" applyNumberFormat="0" applyAlignment="0" applyProtection="0"/>
    <xf numFmtId="0" fontId="2" fillId="2" borderId="1" applyNumberFormat="0" applyAlignment="0" applyProtection="0"/>
    <xf numFmtId="171" fontId="8" fillId="0" borderId="0" applyFont="0" applyFill="0" applyBorder="0" applyAlignment="0" applyProtection="0"/>
    <xf numFmtId="0" fontId="14" fillId="0" borderId="12" applyNumberFormat="0" applyFill="0" applyAlignment="0" applyProtection="0"/>
    <xf numFmtId="0" fontId="15" fillId="0" borderId="13" applyNumberFormat="0" applyFill="0" applyAlignment="0" applyProtection="0"/>
    <xf numFmtId="0" fontId="16" fillId="0" borderId="14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15" applyNumberFormat="0" applyFill="0" applyAlignment="0" applyProtection="0"/>
    <xf numFmtId="0" fontId="18" fillId="14" borderId="16" applyNumberFormat="0" applyAlignment="0" applyProtection="0"/>
    <xf numFmtId="0" fontId="19" fillId="0" borderId="0" applyNumberFormat="0" applyFill="0" applyBorder="0" applyAlignment="0" applyProtection="0"/>
    <xf numFmtId="0" fontId="20" fillId="15" borderId="0" applyNumberFormat="0" applyBorder="0" applyAlignment="0" applyProtection="0"/>
    <xf numFmtId="0" fontId="8" fillId="0" borderId="0"/>
    <xf numFmtId="0" fontId="1" fillId="0" borderId="0"/>
    <xf numFmtId="0" fontId="28" fillId="0" borderId="0"/>
    <xf numFmtId="0" fontId="21" fillId="4" borderId="0" applyNumberFormat="0" applyBorder="0" applyAlignment="0" applyProtection="0"/>
    <xf numFmtId="0" fontId="22" fillId="0" borderId="0" applyNumberFormat="0" applyFill="0" applyBorder="0" applyAlignment="0" applyProtection="0"/>
    <xf numFmtId="0" fontId="8" fillId="16" borderId="17" applyNumberFormat="0" applyFont="0" applyAlignment="0" applyProtection="0"/>
    <xf numFmtId="0" fontId="23" fillId="0" borderId="18" applyNumberFormat="0" applyFill="0" applyAlignment="0" applyProtection="0"/>
    <xf numFmtId="0" fontId="24" fillId="0" borderId="0" applyNumberFormat="0" applyFill="0" applyBorder="0" applyAlignment="0" applyProtection="0"/>
    <xf numFmtId="0" fontId="25" fillId="5" borderId="0" applyNumberFormat="0" applyBorder="0" applyAlignment="0" applyProtection="0"/>
    <xf numFmtId="0" fontId="3" fillId="3" borderId="2" applyNumberFormat="0" applyAlignment="0" applyProtection="0"/>
    <xf numFmtId="164" fontId="1" fillId="0" borderId="0" applyFont="0" applyFill="0" applyBorder="0" applyAlignment="0" applyProtection="0"/>
  </cellStyleXfs>
  <cellXfs count="1485">
    <xf numFmtId="0" fontId="0" fillId="0" borderId="0" xfId="0"/>
    <xf numFmtId="0" fontId="0" fillId="0" borderId="0" xfId="0" applyAlignment="1">
      <alignment wrapText="1"/>
    </xf>
    <xf numFmtId="49" fontId="29" fillId="0" borderId="3" xfId="2" applyNumberFormat="1" applyFont="1" applyBorder="1" applyAlignment="1">
      <alignment horizontal="center" vertical="center" wrapText="1"/>
    </xf>
    <xf numFmtId="49" fontId="5" fillId="0" borderId="3" xfId="2" applyNumberFormat="1" applyFont="1" applyBorder="1" applyAlignment="1">
      <alignment horizontal="center" vertical="center" wrapText="1"/>
    </xf>
    <xf numFmtId="1" fontId="5" fillId="22" borderId="5" xfId="22" applyNumberFormat="1" applyFont="1" applyFill="1" applyBorder="1" applyAlignment="1">
      <alignment horizontal="center" vertical="center" wrapText="1"/>
    </xf>
    <xf numFmtId="166" fontId="5" fillId="22" borderId="20" xfId="22" applyNumberFormat="1" applyFont="1" applyFill="1" applyBorder="1" applyAlignment="1">
      <alignment horizontal="center" vertical="center" wrapText="1"/>
    </xf>
    <xf numFmtId="0" fontId="27" fillId="22" borderId="3" xfId="2" applyFont="1" applyFill="1" applyBorder="1" applyAlignment="1">
      <alignment horizontal="center" vertical="center" wrapText="1"/>
    </xf>
    <xf numFmtId="0" fontId="27" fillId="0" borderId="5" xfId="2" applyFont="1" applyBorder="1" applyAlignment="1">
      <alignment horizontal="center" vertical="center" wrapText="1"/>
    </xf>
    <xf numFmtId="1" fontId="5" fillId="18" borderId="3" xfId="22" applyNumberFormat="1" applyFont="1" applyFill="1" applyBorder="1" applyAlignment="1">
      <alignment horizontal="center" vertical="center" wrapText="1"/>
    </xf>
    <xf numFmtId="1" fontId="5" fillId="0" borderId="3" xfId="22" applyNumberFormat="1" applyFont="1" applyFill="1" applyBorder="1" applyAlignment="1">
      <alignment horizontal="center" vertical="center" wrapText="1"/>
    </xf>
    <xf numFmtId="0" fontId="5" fillId="0" borderId="3" xfId="22" applyFont="1" applyFill="1" applyBorder="1" applyAlignment="1">
      <alignment horizontal="center" vertical="center" wrapText="1"/>
    </xf>
    <xf numFmtId="0" fontId="5" fillId="0" borderId="3" xfId="22" applyNumberFormat="1" applyFont="1" applyFill="1" applyBorder="1" applyAlignment="1">
      <alignment horizontal="center" vertical="center" wrapText="1"/>
    </xf>
    <xf numFmtId="2" fontId="5" fillId="0" borderId="3" xfId="22" applyNumberFormat="1" applyFont="1" applyFill="1" applyBorder="1" applyAlignment="1">
      <alignment horizontal="center" vertical="center" wrapText="1"/>
    </xf>
    <xf numFmtId="49" fontId="5" fillId="0" borderId="3" xfId="22" applyNumberFormat="1" applyFont="1" applyFill="1" applyBorder="1" applyAlignment="1">
      <alignment horizontal="center" vertical="center" wrapText="1"/>
    </xf>
    <xf numFmtId="0" fontId="5" fillId="18" borderId="3" xfId="22" applyFont="1" applyFill="1" applyBorder="1" applyAlignment="1">
      <alignment horizontal="center" vertical="center" wrapText="1"/>
    </xf>
    <xf numFmtId="165" fontId="5" fillId="18" borderId="3" xfId="22" applyNumberFormat="1" applyFont="1" applyFill="1" applyBorder="1" applyAlignment="1">
      <alignment horizontal="center" vertical="center" wrapText="1"/>
    </xf>
    <xf numFmtId="1" fontId="5" fillId="18" borderId="20" xfId="22" applyNumberFormat="1" applyFont="1" applyFill="1" applyBorder="1" applyAlignment="1">
      <alignment horizontal="center" vertical="center" wrapText="1"/>
    </xf>
    <xf numFmtId="0" fontId="5" fillId="0" borderId="19" xfId="22" applyFont="1" applyFill="1" applyBorder="1" applyAlignment="1">
      <alignment horizontal="center" vertical="center" wrapText="1"/>
    </xf>
    <xf numFmtId="0" fontId="5" fillId="0" borderId="3" xfId="22" applyFont="1" applyBorder="1" applyAlignment="1">
      <alignment horizontal="center" vertical="center" wrapText="1"/>
    </xf>
    <xf numFmtId="1" fontId="5" fillId="0" borderId="20" xfId="22" applyNumberFormat="1" applyFont="1" applyFill="1" applyBorder="1" applyAlignment="1">
      <alignment horizontal="center" vertical="center" wrapText="1"/>
    </xf>
    <xf numFmtId="14" fontId="5" fillId="0" borderId="3" xfId="22" applyNumberFormat="1" applyFont="1" applyFill="1" applyBorder="1" applyAlignment="1">
      <alignment horizontal="center" vertical="center" wrapText="1"/>
    </xf>
    <xf numFmtId="166" fontId="5" fillId="0" borderId="4" xfId="22" applyNumberFormat="1" applyFont="1" applyFill="1" applyBorder="1" applyAlignment="1">
      <alignment horizontal="center" vertical="center" wrapText="1"/>
    </xf>
    <xf numFmtId="2" fontId="5" fillId="0" borderId="21" xfId="22" applyNumberFormat="1" applyFont="1" applyFill="1" applyBorder="1" applyAlignment="1">
      <alignment horizontal="center" vertical="center" wrapText="1"/>
    </xf>
    <xf numFmtId="0" fontId="5" fillId="0" borderId="20" xfId="22" applyNumberFormat="1" applyFont="1" applyFill="1" applyBorder="1" applyAlignment="1">
      <alignment horizontal="center" vertical="center" wrapText="1"/>
    </xf>
    <xf numFmtId="0" fontId="5" fillId="0" borderId="5" xfId="22" applyFont="1" applyFill="1" applyBorder="1" applyAlignment="1">
      <alignment horizontal="center" vertical="center" wrapText="1"/>
    </xf>
    <xf numFmtId="166" fontId="5" fillId="0" borderId="19" xfId="22" applyNumberFormat="1" applyFont="1" applyFill="1" applyBorder="1" applyAlignment="1">
      <alignment horizontal="center" vertical="center" wrapText="1"/>
    </xf>
    <xf numFmtId="2" fontId="5" fillId="0" borderId="19" xfId="22" applyNumberFormat="1" applyFont="1" applyFill="1" applyBorder="1" applyAlignment="1">
      <alignment horizontal="center" vertical="center" wrapText="1"/>
    </xf>
    <xf numFmtId="166" fontId="5" fillId="0" borderId="3" xfId="22" applyNumberFormat="1" applyFont="1" applyFill="1" applyBorder="1" applyAlignment="1">
      <alignment horizontal="center" vertical="center" wrapText="1"/>
    </xf>
    <xf numFmtId="0" fontId="5" fillId="0" borderId="6" xfId="22" applyFont="1" applyFill="1" applyBorder="1" applyAlignment="1">
      <alignment horizontal="center" vertical="center" wrapText="1"/>
    </xf>
    <xf numFmtId="165" fontId="5" fillId="0" borderId="3" xfId="22" applyNumberFormat="1" applyFont="1" applyFill="1" applyBorder="1" applyAlignment="1">
      <alignment horizontal="center" vertical="center" wrapText="1"/>
    </xf>
    <xf numFmtId="172" fontId="5" fillId="0" borderId="19" xfId="22" applyNumberFormat="1" applyFont="1" applyFill="1" applyBorder="1" applyAlignment="1">
      <alignment horizontal="center" vertical="center" wrapText="1"/>
    </xf>
    <xf numFmtId="0" fontId="5" fillId="0" borderId="19" xfId="22" applyNumberFormat="1" applyFont="1" applyFill="1" applyBorder="1" applyAlignment="1">
      <alignment horizontal="center" vertical="center" wrapText="1"/>
    </xf>
    <xf numFmtId="2" fontId="5" fillId="0" borderId="4" xfId="22" applyNumberFormat="1" applyFont="1" applyFill="1" applyBorder="1" applyAlignment="1">
      <alignment horizontal="center" vertical="center" wrapText="1"/>
    </xf>
    <xf numFmtId="0" fontId="5" fillId="0" borderId="20" xfId="22" applyFont="1" applyFill="1" applyBorder="1" applyAlignment="1">
      <alignment horizontal="center" vertical="center" wrapText="1"/>
    </xf>
    <xf numFmtId="49" fontId="5" fillId="0" borderId="7" xfId="22" applyNumberFormat="1" applyFont="1" applyFill="1" applyBorder="1" applyAlignment="1">
      <alignment horizontal="center" vertical="center" wrapText="1"/>
    </xf>
    <xf numFmtId="1" fontId="5" fillId="0" borderId="19" xfId="22" applyNumberFormat="1" applyFont="1" applyFill="1" applyBorder="1" applyAlignment="1">
      <alignment horizontal="center" vertical="center" wrapText="1"/>
    </xf>
    <xf numFmtId="165" fontId="5" fillId="0" borderId="20" xfId="22" applyNumberFormat="1" applyFont="1" applyFill="1" applyBorder="1" applyAlignment="1">
      <alignment horizontal="center" vertical="center" wrapText="1"/>
    </xf>
    <xf numFmtId="166" fontId="5" fillId="0" borderId="21" xfId="22" applyNumberFormat="1" applyFont="1" applyFill="1" applyBorder="1" applyAlignment="1">
      <alignment horizontal="center" vertical="center" wrapText="1"/>
    </xf>
    <xf numFmtId="49" fontId="5" fillId="0" borderId="19" xfId="22" applyNumberFormat="1" applyFont="1" applyFill="1" applyBorder="1" applyAlignment="1">
      <alignment horizontal="center" vertical="center" wrapText="1"/>
    </xf>
    <xf numFmtId="2" fontId="5" fillId="0" borderId="6" xfId="22" applyNumberFormat="1" applyFont="1" applyFill="1" applyBorder="1" applyAlignment="1">
      <alignment horizontal="center" vertical="center" wrapText="1"/>
    </xf>
    <xf numFmtId="0" fontId="5" fillId="18" borderId="3" xfId="21" applyFont="1" applyFill="1" applyBorder="1" applyAlignment="1">
      <alignment horizontal="center" vertical="center" wrapText="1"/>
    </xf>
    <xf numFmtId="1" fontId="5" fillId="18" borderId="20" xfId="21" applyNumberFormat="1" applyFont="1" applyFill="1" applyBorder="1" applyAlignment="1">
      <alignment horizontal="center" vertical="center" wrapText="1"/>
    </xf>
    <xf numFmtId="1" fontId="5" fillId="18" borderId="24" xfId="21" applyNumberFormat="1" applyFont="1" applyFill="1" applyBorder="1" applyAlignment="1">
      <alignment horizontal="center" vertical="center" wrapText="1"/>
    </xf>
    <xf numFmtId="0" fontId="5" fillId="18" borderId="5" xfId="21" applyFont="1" applyFill="1" applyBorder="1" applyAlignment="1">
      <alignment horizontal="center" vertical="center" wrapText="1"/>
    </xf>
    <xf numFmtId="166" fontId="5" fillId="18" borderId="3" xfId="21" applyNumberFormat="1" applyFont="1" applyFill="1" applyBorder="1" applyAlignment="1">
      <alignment horizontal="center" vertical="center" wrapText="1"/>
    </xf>
    <xf numFmtId="2" fontId="5" fillId="18" borderId="3" xfId="21" applyNumberFormat="1" applyFont="1" applyFill="1" applyBorder="1" applyAlignment="1">
      <alignment horizontal="center" vertical="center" wrapText="1"/>
    </xf>
    <xf numFmtId="0" fontId="5" fillId="18" borderId="3" xfId="21" applyNumberFormat="1" applyFont="1" applyFill="1" applyBorder="1" applyAlignment="1">
      <alignment horizontal="center" vertical="center" wrapText="1"/>
    </xf>
    <xf numFmtId="49" fontId="5" fillId="18" borderId="3" xfId="21" applyNumberFormat="1" applyFont="1" applyFill="1" applyBorder="1" applyAlignment="1">
      <alignment horizontal="center" vertical="center" wrapText="1"/>
    </xf>
    <xf numFmtId="1" fontId="5" fillId="18" borderId="3" xfId="21" applyNumberFormat="1" applyFont="1" applyFill="1" applyBorder="1" applyAlignment="1">
      <alignment horizontal="center" vertical="center" wrapText="1"/>
    </xf>
    <xf numFmtId="2" fontId="5" fillId="0" borderId="5" xfId="22" applyNumberFormat="1" applyFont="1" applyFill="1" applyBorder="1" applyAlignment="1">
      <alignment horizontal="center" vertical="center" wrapText="1"/>
    </xf>
    <xf numFmtId="0" fontId="5" fillId="18" borderId="19" xfId="22" applyFont="1" applyFill="1" applyBorder="1" applyAlignment="1">
      <alignment horizontal="center" vertical="center" wrapText="1"/>
    </xf>
    <xf numFmtId="0" fontId="5" fillId="0" borderId="21" xfId="22" applyFont="1" applyFill="1" applyBorder="1" applyAlignment="1">
      <alignment horizontal="center" vertical="center" wrapText="1"/>
    </xf>
    <xf numFmtId="49" fontId="5" fillId="0" borderId="5" xfId="22" applyNumberFormat="1" applyFont="1" applyFill="1" applyBorder="1" applyAlignment="1">
      <alignment horizontal="center" vertical="center" wrapText="1"/>
    </xf>
    <xf numFmtId="166" fontId="5" fillId="0" borderId="5" xfId="22" applyNumberFormat="1" applyFont="1" applyFill="1" applyBorder="1" applyAlignment="1">
      <alignment horizontal="center" vertical="center" wrapText="1"/>
    </xf>
    <xf numFmtId="2" fontId="5" fillId="0" borderId="8" xfId="22" applyNumberFormat="1" applyFont="1" applyFill="1" applyBorder="1" applyAlignment="1">
      <alignment horizontal="center" vertical="center" wrapText="1"/>
    </xf>
    <xf numFmtId="0" fontId="5" fillId="0" borderId="5" xfId="22" applyNumberFormat="1" applyFont="1" applyFill="1" applyBorder="1" applyAlignment="1">
      <alignment horizontal="center" vertical="center" wrapText="1"/>
    </xf>
    <xf numFmtId="166" fontId="5" fillId="0" borderId="6" xfId="22" applyNumberFormat="1" applyFont="1" applyFill="1" applyBorder="1" applyAlignment="1">
      <alignment horizontal="center" vertical="center" wrapText="1"/>
    </xf>
    <xf numFmtId="1" fontId="5" fillId="0" borderId="24" xfId="22" applyNumberFormat="1" applyFont="1" applyFill="1" applyBorder="1" applyAlignment="1">
      <alignment horizontal="center" vertical="center" wrapText="1"/>
    </xf>
    <xf numFmtId="1" fontId="5" fillId="0" borderId="5" xfId="22" applyNumberFormat="1" applyFont="1" applyFill="1" applyBorder="1" applyAlignment="1">
      <alignment horizontal="center" vertical="center" wrapText="1"/>
    </xf>
    <xf numFmtId="166" fontId="5" fillId="0" borderId="8" xfId="22" applyNumberFormat="1" applyFont="1" applyFill="1" applyBorder="1" applyAlignment="1">
      <alignment horizontal="center" vertical="center" wrapText="1"/>
    </xf>
    <xf numFmtId="14" fontId="5" fillId="0" borderId="20" xfId="22" applyNumberFormat="1" applyFont="1" applyFill="1" applyBorder="1" applyAlignment="1">
      <alignment horizontal="center" vertical="center" wrapText="1"/>
    </xf>
    <xf numFmtId="14" fontId="5" fillId="0" borderId="6" xfId="22" applyNumberFormat="1" applyFont="1" applyFill="1" applyBorder="1" applyAlignment="1">
      <alignment horizontal="center" vertical="center" wrapText="1"/>
    </xf>
    <xf numFmtId="49" fontId="5" fillId="18" borderId="3" xfId="22" applyNumberFormat="1" applyFont="1" applyFill="1" applyBorder="1" applyAlignment="1">
      <alignment horizontal="center" vertical="center" wrapText="1"/>
    </xf>
    <xf numFmtId="0" fontId="5" fillId="18" borderId="20" xfId="22" applyFont="1" applyFill="1" applyBorder="1" applyAlignment="1">
      <alignment horizontal="center" vertical="center" wrapText="1"/>
    </xf>
    <xf numFmtId="14" fontId="5" fillId="0" borderId="19" xfId="22" applyNumberFormat="1" applyFont="1" applyFill="1" applyBorder="1" applyAlignment="1">
      <alignment horizontal="center" vertical="center" wrapText="1"/>
    </xf>
    <xf numFmtId="14" fontId="5" fillId="18" borderId="3" xfId="22" applyNumberFormat="1" applyFont="1" applyFill="1" applyBorder="1" applyAlignment="1">
      <alignment horizontal="center" vertical="center" wrapText="1"/>
    </xf>
    <xf numFmtId="166" fontId="5" fillId="18" borderId="5" xfId="22" applyNumberFormat="1" applyFont="1" applyFill="1" applyBorder="1" applyAlignment="1">
      <alignment horizontal="center" vertical="center" wrapText="1"/>
    </xf>
    <xf numFmtId="2" fontId="5" fillId="18" borderId="8" xfId="22" applyNumberFormat="1" applyFont="1" applyFill="1" applyBorder="1" applyAlignment="1">
      <alignment horizontal="center" vertical="center" wrapText="1"/>
    </xf>
    <xf numFmtId="2" fontId="5" fillId="18" borderId="3" xfId="22" applyNumberFormat="1" applyFont="1" applyFill="1" applyBorder="1" applyAlignment="1">
      <alignment horizontal="center" vertical="center" wrapText="1"/>
    </xf>
    <xf numFmtId="0" fontId="5" fillId="18" borderId="5" xfId="22" applyNumberFormat="1" applyFont="1" applyFill="1" applyBorder="1" applyAlignment="1">
      <alignment horizontal="center" vertical="center" wrapText="1"/>
    </xf>
    <xf numFmtId="2" fontId="5" fillId="18" borderId="5" xfId="22" applyNumberFormat="1" applyFont="1" applyFill="1" applyBorder="1" applyAlignment="1">
      <alignment horizontal="center" vertical="center" wrapText="1"/>
    </xf>
    <xf numFmtId="0" fontId="5" fillId="0" borderId="8" xfId="22" applyFont="1" applyFill="1" applyBorder="1" applyAlignment="1">
      <alignment horizontal="center" vertical="center" wrapText="1"/>
    </xf>
    <xf numFmtId="49" fontId="5" fillId="0" borderId="6" xfId="22" applyNumberFormat="1" applyFont="1" applyFill="1" applyBorder="1" applyAlignment="1">
      <alignment horizontal="center" vertical="center" wrapText="1"/>
    </xf>
    <xf numFmtId="166" fontId="5" fillId="0" borderId="9" xfId="22" applyNumberFormat="1" applyFont="1" applyFill="1" applyBorder="1" applyAlignment="1">
      <alignment horizontal="center" vertical="center" wrapText="1"/>
    </xf>
    <xf numFmtId="2" fontId="5" fillId="0" borderId="9" xfId="22" applyNumberFormat="1" applyFont="1" applyFill="1" applyBorder="1" applyAlignment="1">
      <alignment horizontal="center" vertical="center" wrapText="1"/>
    </xf>
    <xf numFmtId="49" fontId="5" fillId="0" borderId="20" xfId="22" applyNumberFormat="1" applyFont="1" applyFill="1" applyBorder="1" applyAlignment="1">
      <alignment horizontal="center" vertical="center" wrapText="1"/>
    </xf>
    <xf numFmtId="0" fontId="5" fillId="0" borderId="0" xfId="22" applyFont="1" applyFill="1" applyAlignment="1">
      <alignment horizontal="center" vertical="center" wrapText="1"/>
    </xf>
    <xf numFmtId="1" fontId="7" fillId="0" borderId="19" xfId="22" applyNumberFormat="1" applyFont="1" applyFill="1" applyBorder="1" applyAlignment="1">
      <alignment horizontal="center" vertical="center" wrapText="1"/>
    </xf>
    <xf numFmtId="0" fontId="5" fillId="0" borderId="0" xfId="22" applyFont="1" applyAlignment="1">
      <alignment horizontal="center" vertical="center" wrapText="1"/>
    </xf>
    <xf numFmtId="0" fontId="5" fillId="0" borderId="3" xfId="24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49" fontId="5" fillId="18" borderId="20" xfId="22" applyNumberFormat="1" applyFont="1" applyFill="1" applyBorder="1" applyAlignment="1">
      <alignment horizontal="center" vertical="center" wrapText="1"/>
    </xf>
    <xf numFmtId="49" fontId="5" fillId="18" borderId="24" xfId="21" applyNumberFormat="1" applyFont="1" applyFill="1" applyBorder="1" applyAlignment="1">
      <alignment horizontal="center" vertical="center" wrapText="1"/>
    </xf>
    <xf numFmtId="49" fontId="5" fillId="0" borderId="3" xfId="22" applyNumberFormat="1" applyFont="1" applyBorder="1" applyAlignment="1">
      <alignment horizontal="center" vertical="center" wrapText="1"/>
    </xf>
    <xf numFmtId="49" fontId="5" fillId="0" borderId="8" xfId="22" applyNumberFormat="1" applyFont="1" applyFill="1" applyBorder="1" applyAlignment="1">
      <alignment horizontal="center" vertical="center" wrapText="1"/>
    </xf>
    <xf numFmtId="0" fontId="5" fillId="18" borderId="6" xfId="22" applyFont="1" applyFill="1" applyBorder="1" applyAlignment="1">
      <alignment horizontal="center" vertical="center" wrapText="1"/>
    </xf>
    <xf numFmtId="49" fontId="5" fillId="18" borderId="6" xfId="22" applyNumberFormat="1" applyFont="1" applyFill="1" applyBorder="1" applyAlignment="1">
      <alignment horizontal="center" vertical="center" wrapText="1"/>
    </xf>
    <xf numFmtId="166" fontId="5" fillId="18" borderId="4" xfId="22" applyNumberFormat="1" applyFont="1" applyFill="1" applyBorder="1" applyAlignment="1">
      <alignment horizontal="center" vertical="center" wrapText="1"/>
    </xf>
    <xf numFmtId="2" fontId="5" fillId="18" borderId="4" xfId="22" applyNumberFormat="1" applyFont="1" applyFill="1" applyBorder="1" applyAlignment="1">
      <alignment horizontal="center" vertical="center" wrapText="1"/>
    </xf>
    <xf numFmtId="0" fontId="5" fillId="18" borderId="20" xfId="22" applyNumberFormat="1" applyFont="1" applyFill="1" applyBorder="1" applyAlignment="1">
      <alignment horizontal="center" vertical="center" wrapText="1"/>
    </xf>
    <xf numFmtId="166" fontId="5" fillId="18" borderId="3" xfId="22" applyNumberFormat="1" applyFont="1" applyFill="1" applyBorder="1" applyAlignment="1">
      <alignment horizontal="center" vertical="center" wrapText="1"/>
    </xf>
    <xf numFmtId="0" fontId="5" fillId="18" borderId="3" xfId="22" applyNumberFormat="1" applyFont="1" applyFill="1" applyBorder="1" applyAlignment="1">
      <alignment horizontal="center" vertical="center" wrapText="1"/>
    </xf>
    <xf numFmtId="14" fontId="5" fillId="18" borderId="6" xfId="22" applyNumberFormat="1" applyFont="1" applyFill="1" applyBorder="1" applyAlignment="1">
      <alignment horizontal="center" vertical="center" wrapText="1"/>
    </xf>
    <xf numFmtId="14" fontId="5" fillId="18" borderId="20" xfId="22" applyNumberFormat="1" applyFont="1" applyFill="1" applyBorder="1" applyAlignment="1">
      <alignment horizontal="center" vertical="center" wrapText="1"/>
    </xf>
    <xf numFmtId="0" fontId="5" fillId="18" borderId="19" xfId="22" applyNumberFormat="1" applyFont="1" applyFill="1" applyBorder="1" applyAlignment="1">
      <alignment horizontal="center" vertical="center" wrapText="1"/>
    </xf>
    <xf numFmtId="49" fontId="5" fillId="0" borderId="3" xfId="22" applyNumberFormat="1" applyFont="1" applyBorder="1" applyAlignment="1">
      <alignment horizontal="left" vertical="center" wrapText="1"/>
    </xf>
    <xf numFmtId="0" fontId="5" fillId="0" borderId="3" xfId="22" applyFont="1" applyFill="1" applyBorder="1" applyAlignment="1">
      <alignment horizontal="left" vertical="center" wrapText="1"/>
    </xf>
    <xf numFmtId="0" fontId="5" fillId="18" borderId="3" xfId="22" applyFont="1" applyFill="1" applyBorder="1" applyAlignment="1">
      <alignment horizontal="left" vertical="center" wrapText="1"/>
    </xf>
    <xf numFmtId="0" fontId="5" fillId="0" borderId="19" xfId="22" applyFont="1" applyFill="1" applyBorder="1" applyAlignment="1">
      <alignment horizontal="left" vertical="center" wrapText="1"/>
    </xf>
    <xf numFmtId="165" fontId="5" fillId="0" borderId="19" xfId="22" applyNumberFormat="1" applyFont="1" applyFill="1" applyBorder="1" applyAlignment="1">
      <alignment horizontal="left" vertical="center" wrapText="1"/>
    </xf>
    <xf numFmtId="1" fontId="5" fillId="0" borderId="19" xfId="22" applyNumberFormat="1" applyFont="1" applyFill="1" applyBorder="1" applyAlignment="1">
      <alignment horizontal="left" vertical="center" wrapText="1"/>
    </xf>
    <xf numFmtId="2" fontId="5" fillId="0" borderId="3" xfId="22" applyNumberFormat="1" applyFont="1" applyFill="1" applyBorder="1" applyAlignment="1">
      <alignment horizontal="left" vertical="center" wrapText="1"/>
    </xf>
    <xf numFmtId="0" fontId="5" fillId="18" borderId="3" xfId="21" applyFont="1" applyFill="1" applyBorder="1" applyAlignment="1">
      <alignment horizontal="left" vertical="center" wrapText="1"/>
    </xf>
    <xf numFmtId="0" fontId="5" fillId="18" borderId="19" xfId="22" applyFont="1" applyFill="1" applyBorder="1" applyAlignment="1">
      <alignment horizontal="left" vertical="center" wrapText="1"/>
    </xf>
    <xf numFmtId="0" fontId="5" fillId="0" borderId="21" xfId="22" applyFont="1" applyFill="1" applyBorder="1" applyAlignment="1">
      <alignment horizontal="left" vertical="center" wrapText="1"/>
    </xf>
    <xf numFmtId="0" fontId="5" fillId="18" borderId="3" xfId="2" applyFont="1" applyFill="1" applyBorder="1" applyAlignment="1">
      <alignment horizontal="center" vertical="center" wrapText="1"/>
    </xf>
    <xf numFmtId="0" fontId="27" fillId="0" borderId="3" xfId="2" applyFont="1" applyFill="1" applyBorder="1" applyAlignment="1">
      <alignment horizontal="center" vertical="center" wrapText="1"/>
    </xf>
    <xf numFmtId="2" fontId="5" fillId="22" borderId="3" xfId="22" applyNumberFormat="1" applyFont="1" applyFill="1" applyBorder="1" applyAlignment="1">
      <alignment horizontal="center" vertical="center" wrapText="1"/>
    </xf>
    <xf numFmtId="0" fontId="5" fillId="22" borderId="3" xfId="22" applyFont="1" applyFill="1" applyBorder="1" applyAlignment="1">
      <alignment horizontal="left" vertical="center" wrapText="1"/>
    </xf>
    <xf numFmtId="0" fontId="5" fillId="22" borderId="3" xfId="22" applyFont="1" applyFill="1" applyBorder="1" applyAlignment="1">
      <alignment horizontal="center" vertical="center" wrapText="1"/>
    </xf>
    <xf numFmtId="1" fontId="5" fillId="22" borderId="20" xfId="22" applyNumberFormat="1" applyFont="1" applyFill="1" applyBorder="1" applyAlignment="1">
      <alignment horizontal="center" vertical="center" wrapText="1"/>
    </xf>
    <xf numFmtId="49" fontId="5" fillId="22" borderId="20" xfId="22" applyNumberFormat="1" applyFont="1" applyFill="1" applyBorder="1" applyAlignment="1">
      <alignment horizontal="center" vertical="center" wrapText="1"/>
    </xf>
    <xf numFmtId="14" fontId="5" fillId="22" borderId="3" xfId="22" applyNumberFormat="1" applyFont="1" applyFill="1" applyBorder="1" applyAlignment="1">
      <alignment horizontal="center" vertical="center" wrapText="1"/>
    </xf>
    <xf numFmtId="49" fontId="5" fillId="22" borderId="3" xfId="22" applyNumberFormat="1" applyFont="1" applyFill="1" applyBorder="1" applyAlignment="1">
      <alignment horizontal="center" vertical="center" wrapText="1"/>
    </xf>
    <xf numFmtId="166" fontId="5" fillId="22" borderId="3" xfId="22" applyNumberFormat="1" applyFont="1" applyFill="1" applyBorder="1" applyAlignment="1">
      <alignment horizontal="center" vertical="center" wrapText="1"/>
    </xf>
    <xf numFmtId="1" fontId="5" fillId="22" borderId="3" xfId="22" applyNumberFormat="1" applyFont="1" applyFill="1" applyBorder="1" applyAlignment="1">
      <alignment horizontal="center" vertical="center" wrapText="1"/>
    </xf>
    <xf numFmtId="2" fontId="5" fillId="22" borderId="21" xfId="22" applyNumberFormat="1" applyFont="1" applyFill="1" applyBorder="1" applyAlignment="1">
      <alignment horizontal="center" vertical="center" wrapText="1"/>
    </xf>
    <xf numFmtId="2" fontId="5" fillId="22" borderId="19" xfId="22" applyNumberFormat="1" applyFont="1" applyFill="1" applyBorder="1" applyAlignment="1">
      <alignment horizontal="center" vertical="center" wrapText="1"/>
    </xf>
    <xf numFmtId="14" fontId="5" fillId="22" borderId="19" xfId="22" applyNumberFormat="1" applyFont="1" applyFill="1" applyBorder="1" applyAlignment="1">
      <alignment horizontal="center" vertical="center" wrapText="1"/>
    </xf>
    <xf numFmtId="0" fontId="5" fillId="22" borderId="19" xfId="22" applyFont="1" applyFill="1" applyBorder="1" applyAlignment="1">
      <alignment horizontal="left" vertical="center" wrapText="1"/>
    </xf>
    <xf numFmtId="0" fontId="5" fillId="22" borderId="19" xfId="22" applyFont="1" applyFill="1" applyBorder="1" applyAlignment="1">
      <alignment horizontal="center" vertical="center" wrapText="1"/>
    </xf>
    <xf numFmtId="0" fontId="5" fillId="22" borderId="20" xfId="22" applyFont="1" applyFill="1" applyBorder="1" applyAlignment="1">
      <alignment horizontal="center" vertical="center" wrapText="1"/>
    </xf>
    <xf numFmtId="166" fontId="5" fillId="22" borderId="4" xfId="22" applyNumberFormat="1" applyFont="1" applyFill="1" applyBorder="1" applyAlignment="1">
      <alignment horizontal="center" vertical="center" wrapText="1"/>
    </xf>
    <xf numFmtId="2" fontId="5" fillId="22" borderId="4" xfId="22" applyNumberFormat="1" applyFont="1" applyFill="1" applyBorder="1" applyAlignment="1">
      <alignment horizontal="center" vertical="center" wrapText="1"/>
    </xf>
    <xf numFmtId="0" fontId="5" fillId="22" borderId="20" xfId="22" applyNumberFormat="1" applyFont="1" applyFill="1" applyBorder="1" applyAlignment="1">
      <alignment horizontal="center" vertical="center" wrapText="1"/>
    </xf>
    <xf numFmtId="0" fontId="5" fillId="22" borderId="3" xfId="22" applyNumberFormat="1" applyFont="1" applyFill="1" applyBorder="1" applyAlignment="1">
      <alignment horizontal="center" vertical="center" wrapText="1"/>
    </xf>
    <xf numFmtId="14" fontId="5" fillId="22" borderId="20" xfId="22" applyNumberFormat="1" applyFont="1" applyFill="1" applyBorder="1" applyAlignment="1">
      <alignment horizontal="center" vertical="center" wrapText="1"/>
    </xf>
    <xf numFmtId="49" fontId="5" fillId="22" borderId="6" xfId="22" applyNumberFormat="1" applyFont="1" applyFill="1" applyBorder="1" applyAlignment="1">
      <alignment horizontal="center" vertical="center" wrapText="1"/>
    </xf>
    <xf numFmtId="0" fontId="5" fillId="22" borderId="19" xfId="22" applyNumberFormat="1" applyFont="1" applyFill="1" applyBorder="1" applyAlignment="1">
      <alignment horizontal="center" vertical="center" wrapText="1"/>
    </xf>
    <xf numFmtId="14" fontId="5" fillId="22" borderId="6" xfId="22" applyNumberFormat="1" applyFont="1" applyFill="1" applyBorder="1" applyAlignment="1">
      <alignment horizontal="center" vertical="center" wrapText="1"/>
    </xf>
    <xf numFmtId="0" fontId="5" fillId="22" borderId="6" xfId="22" applyFont="1" applyFill="1" applyBorder="1" applyAlignment="1">
      <alignment horizontal="center" vertical="center" wrapText="1"/>
    </xf>
    <xf numFmtId="2" fontId="5" fillId="22" borderId="6" xfId="22" applyNumberFormat="1" applyFont="1" applyFill="1" applyBorder="1" applyAlignment="1">
      <alignment horizontal="center" vertical="center" wrapText="1"/>
    </xf>
    <xf numFmtId="165" fontId="5" fillId="22" borderId="3" xfId="22" applyNumberFormat="1" applyFont="1" applyFill="1" applyBorder="1" applyAlignment="1">
      <alignment horizontal="left" vertical="center" wrapText="1"/>
    </xf>
    <xf numFmtId="165" fontId="5" fillId="22" borderId="3" xfId="22" applyNumberFormat="1" applyFont="1" applyFill="1" applyBorder="1" applyAlignment="1">
      <alignment horizontal="center" vertical="center" wrapText="1"/>
    </xf>
    <xf numFmtId="167" fontId="5" fillId="22" borderId="3" xfId="22" applyNumberFormat="1" applyFont="1" applyFill="1" applyBorder="1" applyAlignment="1">
      <alignment horizontal="center" vertical="center" wrapText="1"/>
    </xf>
    <xf numFmtId="172" fontId="5" fillId="22" borderId="19" xfId="22" applyNumberFormat="1" applyFont="1" applyFill="1" applyBorder="1" applyAlignment="1">
      <alignment horizontal="center" vertical="center" wrapText="1"/>
    </xf>
    <xf numFmtId="0" fontId="7" fillId="0" borderId="3" xfId="22" applyNumberFormat="1" applyFont="1" applyFill="1" applyBorder="1" applyAlignment="1">
      <alignment horizontal="center" vertical="center" wrapText="1"/>
    </xf>
    <xf numFmtId="2" fontId="7" fillId="0" borderId="3" xfId="22" applyNumberFormat="1" applyFont="1" applyFill="1" applyBorder="1" applyAlignment="1">
      <alignment horizontal="center" vertical="center" wrapText="1"/>
    </xf>
    <xf numFmtId="0" fontId="7" fillId="0" borderId="19" xfId="22" applyNumberFormat="1" applyFont="1" applyFill="1" applyBorder="1" applyAlignment="1">
      <alignment horizontal="center" vertical="center" wrapText="1"/>
    </xf>
    <xf numFmtId="0" fontId="7" fillId="0" borderId="3" xfId="22" applyFont="1" applyFill="1" applyBorder="1" applyAlignment="1">
      <alignment horizontal="center" vertical="center" wrapText="1"/>
    </xf>
    <xf numFmtId="14" fontId="31" fillId="0" borderId="3" xfId="22" applyNumberFormat="1" applyFont="1" applyFill="1" applyBorder="1" applyAlignment="1">
      <alignment horizontal="center" vertical="center" wrapText="1"/>
    </xf>
    <xf numFmtId="14" fontId="31" fillId="22" borderId="20" xfId="22" applyNumberFormat="1" applyFont="1" applyFill="1" applyBorder="1" applyAlignment="1">
      <alignment horizontal="center" vertical="center" wrapText="1"/>
    </xf>
    <xf numFmtId="166" fontId="5" fillId="22" borderId="8" xfId="22" applyNumberFormat="1" applyFont="1" applyFill="1" applyBorder="1" applyAlignment="1">
      <alignment horizontal="center" vertical="center" wrapText="1"/>
    </xf>
    <xf numFmtId="2" fontId="5" fillId="22" borderId="8" xfId="22" applyNumberFormat="1" applyFont="1" applyFill="1" applyBorder="1" applyAlignment="1">
      <alignment horizontal="center" vertical="center" wrapText="1"/>
    </xf>
    <xf numFmtId="2" fontId="5" fillId="22" borderId="20" xfId="22" applyNumberFormat="1" applyFont="1" applyFill="1" applyBorder="1" applyAlignment="1">
      <alignment horizontal="center" vertical="center" wrapText="1"/>
    </xf>
    <xf numFmtId="0" fontId="5" fillId="22" borderId="21" xfId="22" applyFont="1" applyFill="1" applyBorder="1" applyAlignment="1">
      <alignment horizontal="left" vertical="center" wrapText="1"/>
    </xf>
    <xf numFmtId="0" fontId="5" fillId="22" borderId="21" xfId="22" applyFont="1" applyFill="1" applyBorder="1" applyAlignment="1">
      <alignment horizontal="center" vertical="center" wrapText="1"/>
    </xf>
    <xf numFmtId="166" fontId="5" fillId="22" borderId="5" xfId="22" applyNumberFormat="1" applyFont="1" applyFill="1" applyBorder="1" applyAlignment="1">
      <alignment horizontal="center" vertical="center" wrapText="1"/>
    </xf>
    <xf numFmtId="14" fontId="5" fillId="22" borderId="5" xfId="22" applyNumberFormat="1" applyFont="1" applyFill="1" applyBorder="1" applyAlignment="1">
      <alignment horizontal="center" vertical="center" wrapText="1"/>
    </xf>
    <xf numFmtId="0" fontId="6" fillId="0" borderId="3" xfId="22" applyFont="1" applyFill="1" applyBorder="1" applyAlignment="1">
      <alignment horizontal="left" vertical="center" wrapText="1"/>
    </xf>
    <xf numFmtId="0" fontId="6" fillId="0" borderId="3" xfId="22" applyFont="1" applyFill="1" applyBorder="1" applyAlignment="1">
      <alignment horizontal="center" vertical="center" wrapText="1"/>
    </xf>
    <xf numFmtId="1" fontId="6" fillId="0" borderId="3" xfId="22" applyNumberFormat="1" applyFont="1" applyFill="1" applyBorder="1" applyAlignment="1">
      <alignment horizontal="center" vertical="center" wrapText="1"/>
    </xf>
    <xf numFmtId="0" fontId="6" fillId="0" borderId="3" xfId="22" applyFont="1" applyBorder="1" applyAlignment="1">
      <alignment horizontal="center" vertical="center" wrapText="1"/>
    </xf>
    <xf numFmtId="49" fontId="6" fillId="0" borderId="3" xfId="22" applyNumberFormat="1" applyFont="1" applyBorder="1" applyAlignment="1">
      <alignment horizontal="left" vertical="center" wrapText="1"/>
    </xf>
    <xf numFmtId="49" fontId="6" fillId="0" borderId="3" xfId="22" applyNumberFormat="1" applyFont="1" applyFill="1" applyBorder="1" applyAlignment="1">
      <alignment horizontal="center" vertical="center" wrapText="1"/>
    </xf>
    <xf numFmtId="166" fontId="6" fillId="0" borderId="3" xfId="22" applyNumberFormat="1" applyFont="1" applyFill="1" applyBorder="1" applyAlignment="1">
      <alignment horizontal="center" vertical="center" wrapText="1"/>
    </xf>
    <xf numFmtId="2" fontId="6" fillId="0" borderId="3" xfId="22" applyNumberFormat="1" applyFont="1" applyFill="1" applyBorder="1" applyAlignment="1">
      <alignment horizontal="center" vertical="center" wrapText="1"/>
    </xf>
    <xf numFmtId="168" fontId="6" fillId="0" borderId="3" xfId="22" applyNumberFormat="1" applyFont="1" applyFill="1" applyBorder="1" applyAlignment="1">
      <alignment horizontal="center" vertical="center" wrapText="1"/>
    </xf>
    <xf numFmtId="0" fontId="6" fillId="0" borderId="3" xfId="22" applyNumberFormat="1" applyFont="1" applyFill="1" applyBorder="1" applyAlignment="1">
      <alignment horizontal="center" vertical="center" wrapText="1"/>
    </xf>
    <xf numFmtId="0" fontId="6" fillId="18" borderId="3" xfId="22" applyFont="1" applyFill="1" applyBorder="1" applyAlignment="1">
      <alignment horizontal="center" vertical="center" wrapText="1"/>
    </xf>
    <xf numFmtId="49" fontId="6" fillId="0" borderId="20" xfId="22" applyNumberFormat="1" applyFont="1" applyFill="1" applyBorder="1" applyAlignment="1">
      <alignment horizontal="center" vertical="center" wrapText="1"/>
    </xf>
    <xf numFmtId="1" fontId="6" fillId="0" borderId="20" xfId="22" applyNumberFormat="1" applyFont="1" applyFill="1" applyBorder="1" applyAlignment="1">
      <alignment horizontal="center" vertical="center" wrapText="1"/>
    </xf>
    <xf numFmtId="0" fontId="5" fillId="22" borderId="21" xfId="22" applyNumberFormat="1" applyFont="1" applyFill="1" applyBorder="1" applyAlignment="1">
      <alignment horizontal="center" vertical="center" wrapText="1"/>
    </xf>
    <xf numFmtId="2" fontId="7" fillId="18" borderId="3" xfId="22" applyNumberFormat="1" applyFont="1" applyFill="1" applyBorder="1" applyAlignment="1">
      <alignment horizontal="center" vertical="center" wrapText="1"/>
    </xf>
    <xf numFmtId="14" fontId="31" fillId="22" borderId="3" xfId="22" applyNumberFormat="1" applyFont="1" applyFill="1" applyBorder="1" applyAlignment="1">
      <alignment horizontal="center" vertical="center" wrapText="1"/>
    </xf>
    <xf numFmtId="1" fontId="5" fillId="22" borderId="3" xfId="22" applyNumberFormat="1" applyFont="1" applyFill="1" applyBorder="1" applyAlignment="1">
      <alignment horizontal="left" vertical="center" wrapText="1"/>
    </xf>
    <xf numFmtId="14" fontId="32" fillId="0" borderId="3" xfId="22" applyNumberFormat="1" applyFont="1" applyFill="1" applyBorder="1" applyAlignment="1">
      <alignment horizontal="center" vertical="center" wrapText="1"/>
    </xf>
    <xf numFmtId="0" fontId="5" fillId="22" borderId="5" xfId="22" applyFont="1" applyFill="1" applyBorder="1" applyAlignment="1">
      <alignment horizontal="center" vertical="center" wrapText="1"/>
    </xf>
    <xf numFmtId="166" fontId="5" fillId="22" borderId="19" xfId="22" applyNumberFormat="1" applyFont="1" applyFill="1" applyBorder="1" applyAlignment="1">
      <alignment horizontal="left" vertical="center" wrapText="1"/>
    </xf>
    <xf numFmtId="166" fontId="5" fillId="22" borderId="19" xfId="22" applyNumberFormat="1" applyFont="1" applyFill="1" applyBorder="1" applyAlignment="1">
      <alignment horizontal="center" vertical="center" wrapText="1"/>
    </xf>
    <xf numFmtId="165" fontId="5" fillId="22" borderId="19" xfId="22" applyNumberFormat="1" applyFont="1" applyFill="1" applyBorder="1" applyAlignment="1">
      <alignment horizontal="left" vertical="center" wrapText="1"/>
    </xf>
    <xf numFmtId="165" fontId="5" fillId="22" borderId="19" xfId="22" applyNumberFormat="1" applyFont="1" applyFill="1" applyBorder="1" applyAlignment="1">
      <alignment horizontal="center" vertical="center" wrapText="1"/>
    </xf>
    <xf numFmtId="167" fontId="5" fillId="22" borderId="6" xfId="22" applyNumberFormat="1" applyFont="1" applyFill="1" applyBorder="1" applyAlignment="1">
      <alignment horizontal="center" vertical="center" wrapText="1"/>
    </xf>
    <xf numFmtId="14" fontId="5" fillId="0" borderId="24" xfId="22" applyNumberFormat="1" applyFont="1" applyFill="1" applyBorder="1" applyAlignment="1">
      <alignment horizontal="center" vertical="center" wrapText="1"/>
    </xf>
    <xf numFmtId="49" fontId="5" fillId="22" borderId="19" xfId="22" applyNumberFormat="1" applyFont="1" applyFill="1" applyBorder="1" applyAlignment="1">
      <alignment horizontal="center" vertical="center" wrapText="1"/>
    </xf>
    <xf numFmtId="166" fontId="5" fillId="22" borderId="21" xfId="22" applyNumberFormat="1" applyFont="1" applyFill="1" applyBorder="1" applyAlignment="1">
      <alignment horizontal="center" vertical="center" wrapText="1"/>
    </xf>
    <xf numFmtId="0" fontId="5" fillId="22" borderId="3" xfId="2" applyFont="1" applyFill="1" applyBorder="1" applyAlignment="1">
      <alignment horizontal="center" vertical="center" wrapText="1"/>
    </xf>
    <xf numFmtId="0" fontId="5" fillId="18" borderId="5" xfId="22" applyFont="1" applyFill="1" applyBorder="1" applyAlignment="1">
      <alignment horizontal="center" vertical="center" wrapText="1"/>
    </xf>
    <xf numFmtId="49" fontId="5" fillId="18" borderId="5" xfId="22" applyNumberFormat="1" applyFont="1" applyFill="1" applyBorder="1" applyAlignment="1">
      <alignment horizontal="center" vertical="center" wrapText="1"/>
    </xf>
    <xf numFmtId="14" fontId="32" fillId="0" borderId="3" xfId="22" applyNumberFormat="1" applyFont="1" applyBorder="1" applyAlignment="1">
      <alignment horizontal="center" vertical="center" wrapText="1"/>
    </xf>
    <xf numFmtId="0" fontId="4" fillId="0" borderId="3" xfId="22" applyFont="1" applyFill="1" applyBorder="1" applyAlignment="1">
      <alignment horizontal="center" vertical="center" wrapText="1"/>
    </xf>
    <xf numFmtId="49" fontId="5" fillId="18" borderId="0" xfId="22" applyNumberFormat="1" applyFont="1" applyFill="1" applyAlignment="1">
      <alignment horizontal="center" vertical="center" wrapText="1"/>
    </xf>
    <xf numFmtId="14" fontId="5" fillId="18" borderId="5" xfId="21" applyNumberFormat="1" applyFont="1" applyFill="1" applyBorder="1" applyAlignment="1">
      <alignment horizontal="center" vertical="center" wrapText="1"/>
    </xf>
    <xf numFmtId="0" fontId="5" fillId="22" borderId="19" xfId="2" applyFont="1" applyFill="1" applyBorder="1" applyAlignment="1">
      <alignment horizontal="center" vertical="center" wrapText="1"/>
    </xf>
    <xf numFmtId="0" fontId="5" fillId="22" borderId="9" xfId="22" applyFont="1" applyFill="1" applyBorder="1" applyAlignment="1">
      <alignment horizontal="center" vertical="center" wrapText="1"/>
    </xf>
    <xf numFmtId="0" fontId="5" fillId="22" borderId="20" xfId="24" applyFont="1" applyFill="1" applyBorder="1" applyAlignment="1">
      <alignment horizontal="left" vertical="center" wrapText="1"/>
    </xf>
    <xf numFmtId="169" fontId="5" fillId="22" borderId="6" xfId="22" applyNumberFormat="1" applyFont="1" applyFill="1" applyBorder="1" applyAlignment="1">
      <alignment horizontal="center" vertical="center" wrapText="1"/>
    </xf>
    <xf numFmtId="49" fontId="5" fillId="22" borderId="3" xfId="22" applyNumberFormat="1" applyFont="1" applyFill="1" applyBorder="1" applyAlignment="1">
      <alignment horizontal="left" vertical="center" wrapText="1"/>
    </xf>
    <xf numFmtId="0" fontId="5" fillId="22" borderId="0" xfId="22" applyFont="1" applyFill="1" applyAlignment="1">
      <alignment horizontal="center" vertical="center" wrapText="1"/>
    </xf>
    <xf numFmtId="166" fontId="5" fillId="22" borderId="9" xfId="22" applyNumberFormat="1" applyFont="1" applyFill="1" applyBorder="1" applyAlignment="1">
      <alignment horizontal="center" vertical="center" wrapText="1"/>
    </xf>
    <xf numFmtId="2" fontId="5" fillId="22" borderId="9" xfId="22" applyNumberFormat="1" applyFont="1" applyFill="1" applyBorder="1" applyAlignment="1">
      <alignment horizontal="center" vertical="center" wrapText="1"/>
    </xf>
    <xf numFmtId="49" fontId="5" fillId="22" borderId="5" xfId="22" applyNumberFormat="1" applyFont="1" applyFill="1" applyBorder="1" applyAlignment="1">
      <alignment horizontal="center" vertical="center" wrapText="1"/>
    </xf>
    <xf numFmtId="2" fontId="29" fillId="17" borderId="3" xfId="22" applyNumberFormat="1" applyFont="1" applyFill="1" applyBorder="1" applyAlignment="1">
      <alignment horizontal="center" vertical="center" wrapText="1"/>
    </xf>
    <xf numFmtId="0" fontId="40" fillId="0" borderId="3" xfId="0" applyFont="1" applyBorder="1" applyAlignment="1">
      <alignment horizontal="center" vertical="center" wrapText="1"/>
    </xf>
    <xf numFmtId="168" fontId="29" fillId="0" borderId="4" xfId="22" applyNumberFormat="1" applyFont="1" applyFill="1" applyBorder="1" applyAlignment="1">
      <alignment horizontal="center" vertical="center" wrapText="1"/>
    </xf>
    <xf numFmtId="1" fontId="33" fillId="18" borderId="3" xfId="22" applyNumberFormat="1" applyFont="1" applyFill="1" applyBorder="1" applyAlignment="1">
      <alignment horizontal="center" vertical="center" wrapText="1"/>
    </xf>
    <xf numFmtId="1" fontId="33" fillId="0" borderId="3" xfId="22" applyNumberFormat="1" applyFont="1" applyFill="1" applyBorder="1" applyAlignment="1">
      <alignment horizontal="center" vertical="center" wrapText="1"/>
    </xf>
    <xf numFmtId="2" fontId="33" fillId="0" borderId="3" xfId="22" applyNumberFormat="1" applyFont="1" applyFill="1" applyBorder="1" applyAlignment="1">
      <alignment horizontal="center" vertical="center" wrapText="1"/>
    </xf>
    <xf numFmtId="1" fontId="33" fillId="0" borderId="20" xfId="22" applyNumberFormat="1" applyFont="1" applyFill="1" applyBorder="1" applyAlignment="1">
      <alignment horizontal="center" vertical="center" wrapText="1"/>
    </xf>
    <xf numFmtId="49" fontId="33" fillId="0" borderId="20" xfId="22" applyNumberFormat="1" applyFont="1" applyFill="1" applyBorder="1" applyAlignment="1">
      <alignment horizontal="center" vertical="center" wrapText="1"/>
    </xf>
    <xf numFmtId="49" fontId="33" fillId="0" borderId="3" xfId="22" applyNumberFormat="1" applyFont="1" applyFill="1" applyBorder="1" applyAlignment="1">
      <alignment horizontal="center" vertical="center" wrapText="1"/>
    </xf>
    <xf numFmtId="0" fontId="33" fillId="0" borderId="3" xfId="22" applyFont="1" applyFill="1" applyBorder="1" applyAlignment="1">
      <alignment horizontal="center" vertical="center" wrapText="1"/>
    </xf>
    <xf numFmtId="166" fontId="33" fillId="0" borderId="4" xfId="22" applyNumberFormat="1" applyFont="1" applyFill="1" applyBorder="1" applyAlignment="1">
      <alignment horizontal="center" vertical="center" wrapText="1"/>
    </xf>
    <xf numFmtId="2" fontId="33" fillId="0" borderId="4" xfId="22" applyNumberFormat="1" applyFont="1" applyFill="1" applyBorder="1" applyAlignment="1">
      <alignment horizontal="center" vertical="center" wrapText="1"/>
    </xf>
    <xf numFmtId="0" fontId="33" fillId="0" borderId="20" xfId="22" applyNumberFormat="1" applyFont="1" applyFill="1" applyBorder="1" applyAlignment="1">
      <alignment horizontal="center" vertical="center" wrapText="1"/>
    </xf>
    <xf numFmtId="1" fontId="44" fillId="18" borderId="3" xfId="22" applyNumberFormat="1" applyFont="1" applyFill="1" applyBorder="1" applyAlignment="1">
      <alignment horizontal="center" vertical="center" wrapText="1"/>
    </xf>
    <xf numFmtId="1" fontId="44" fillId="0" borderId="3" xfId="22" applyNumberFormat="1" applyFont="1" applyFill="1" applyBorder="1" applyAlignment="1">
      <alignment horizontal="center" vertical="center" wrapText="1"/>
    </xf>
    <xf numFmtId="2" fontId="44" fillId="0" borderId="3" xfId="22" applyNumberFormat="1" applyFont="1" applyFill="1" applyBorder="1" applyAlignment="1">
      <alignment horizontal="left" vertical="center" wrapText="1"/>
    </xf>
    <xf numFmtId="2" fontId="44" fillId="0" borderId="3" xfId="22" applyNumberFormat="1" applyFont="1" applyFill="1" applyBorder="1" applyAlignment="1">
      <alignment horizontal="center" vertical="center" wrapText="1"/>
    </xf>
    <xf numFmtId="1" fontId="44" fillId="0" borderId="20" xfId="22" applyNumberFormat="1" applyFont="1" applyFill="1" applyBorder="1" applyAlignment="1">
      <alignment horizontal="center" vertical="center" wrapText="1"/>
    </xf>
    <xf numFmtId="49" fontId="44" fillId="0" borderId="20" xfId="22" applyNumberFormat="1" applyFont="1" applyFill="1" applyBorder="1" applyAlignment="1">
      <alignment horizontal="center" vertical="center" wrapText="1"/>
    </xf>
    <xf numFmtId="169" fontId="44" fillId="0" borderId="3" xfId="22" applyNumberFormat="1" applyFont="1" applyBorder="1" applyAlignment="1">
      <alignment horizontal="center" vertical="center" wrapText="1"/>
    </xf>
    <xf numFmtId="49" fontId="44" fillId="0" borderId="3" xfId="22" applyNumberFormat="1" applyFont="1" applyBorder="1" applyAlignment="1">
      <alignment horizontal="center" vertical="center" wrapText="1"/>
    </xf>
    <xf numFmtId="49" fontId="44" fillId="0" borderId="3" xfId="22" applyNumberFormat="1" applyFont="1" applyFill="1" applyBorder="1" applyAlignment="1">
      <alignment horizontal="center" vertical="center" wrapText="1"/>
    </xf>
    <xf numFmtId="0" fontId="44" fillId="0" borderId="3" xfId="22" applyFont="1" applyFill="1" applyBorder="1" applyAlignment="1">
      <alignment horizontal="center" vertical="center" wrapText="1"/>
    </xf>
    <xf numFmtId="166" fontId="44" fillId="0" borderId="4" xfId="22" applyNumberFormat="1" applyFont="1" applyFill="1" applyBorder="1" applyAlignment="1">
      <alignment horizontal="center" vertical="center" wrapText="1"/>
    </xf>
    <xf numFmtId="2" fontId="44" fillId="0" borderId="4" xfId="22" applyNumberFormat="1" applyFont="1" applyFill="1" applyBorder="1" applyAlignment="1">
      <alignment horizontal="center" vertical="center" wrapText="1"/>
    </xf>
    <xf numFmtId="0" fontId="44" fillId="0" borderId="20" xfId="22" applyNumberFormat="1" applyFont="1" applyFill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 wrapText="1"/>
    </xf>
    <xf numFmtId="0" fontId="33" fillId="0" borderId="19" xfId="22" applyFont="1" applyFill="1" applyBorder="1" applyAlignment="1">
      <alignment horizontal="left" vertical="center" wrapText="1"/>
    </xf>
    <xf numFmtId="0" fontId="33" fillId="0" borderId="19" xfId="22" applyFont="1" applyFill="1" applyBorder="1" applyAlignment="1">
      <alignment horizontal="center" vertical="center" wrapText="1"/>
    </xf>
    <xf numFmtId="0" fontId="33" fillId="0" borderId="20" xfId="22" applyFont="1" applyBorder="1" applyAlignment="1">
      <alignment horizontal="center" vertical="center" wrapText="1"/>
    </xf>
    <xf numFmtId="14" fontId="33" fillId="0" borderId="3" xfId="22" applyNumberFormat="1" applyFont="1" applyBorder="1" applyAlignment="1">
      <alignment horizontal="center" vertical="center" wrapText="1"/>
    </xf>
    <xf numFmtId="49" fontId="33" fillId="0" borderId="20" xfId="22" applyNumberFormat="1" applyFont="1" applyBorder="1" applyAlignment="1">
      <alignment horizontal="center" vertical="center" wrapText="1"/>
    </xf>
    <xf numFmtId="0" fontId="33" fillId="0" borderId="20" xfId="22" applyFont="1" applyFill="1" applyBorder="1" applyAlignment="1">
      <alignment horizontal="center" vertical="center" wrapText="1"/>
    </xf>
    <xf numFmtId="166" fontId="33" fillId="0" borderId="3" xfId="22" applyNumberFormat="1" applyFont="1" applyFill="1" applyBorder="1" applyAlignment="1">
      <alignment horizontal="center" vertical="center" wrapText="1"/>
    </xf>
    <xf numFmtId="165" fontId="33" fillId="0" borderId="3" xfId="22" applyNumberFormat="1" applyFont="1" applyFill="1" applyBorder="1" applyAlignment="1">
      <alignment horizontal="center" vertical="center" wrapText="1"/>
    </xf>
    <xf numFmtId="14" fontId="43" fillId="0" borderId="3" xfId="22" applyNumberFormat="1" applyFont="1" applyBorder="1" applyAlignment="1">
      <alignment horizontal="center" vertical="center" wrapText="1"/>
    </xf>
    <xf numFmtId="0" fontId="33" fillId="0" borderId="3" xfId="22" applyNumberFormat="1" applyFont="1" applyFill="1" applyBorder="1" applyAlignment="1">
      <alignment horizontal="center" vertical="center" wrapText="1"/>
    </xf>
    <xf numFmtId="0" fontId="0" fillId="22" borderId="0" xfId="0" applyFill="1" applyAlignment="1">
      <alignment wrapText="1"/>
    </xf>
    <xf numFmtId="168" fontId="5" fillId="22" borderId="3" xfId="22" applyNumberFormat="1" applyFont="1" applyFill="1" applyBorder="1" applyAlignment="1">
      <alignment horizontal="center" vertical="center" wrapText="1"/>
    </xf>
    <xf numFmtId="0" fontId="33" fillId="0" borderId="6" xfId="22" applyFont="1" applyFill="1" applyBorder="1" applyAlignment="1">
      <alignment horizontal="center" vertical="center" wrapText="1"/>
    </xf>
    <xf numFmtId="49" fontId="33" fillId="0" borderId="6" xfId="22" applyNumberFormat="1" applyFont="1" applyFill="1" applyBorder="1" applyAlignment="1">
      <alignment horizontal="center" vertical="center" wrapText="1"/>
    </xf>
    <xf numFmtId="1" fontId="33" fillId="0" borderId="5" xfId="22" applyNumberFormat="1" applyFont="1" applyFill="1" applyBorder="1" applyAlignment="1">
      <alignment horizontal="center" vertical="center" wrapText="1"/>
    </xf>
    <xf numFmtId="0" fontId="33" fillId="0" borderId="3" xfId="22" applyFont="1" applyFill="1" applyBorder="1" applyAlignment="1">
      <alignment horizontal="left" vertical="center" wrapText="1"/>
    </xf>
    <xf numFmtId="1" fontId="33" fillId="0" borderId="24" xfId="22" applyNumberFormat="1" applyFont="1" applyFill="1" applyBorder="1" applyAlignment="1">
      <alignment horizontal="center" vertical="center" wrapText="1"/>
    </xf>
    <xf numFmtId="49" fontId="33" fillId="0" borderId="5" xfId="22" applyNumberFormat="1" applyFont="1" applyFill="1" applyBorder="1" applyAlignment="1">
      <alignment horizontal="center" vertical="center" wrapText="1"/>
    </xf>
    <xf numFmtId="0" fontId="33" fillId="0" borderId="5" xfId="22" applyFont="1" applyFill="1" applyBorder="1" applyAlignment="1">
      <alignment horizontal="center" vertical="center" wrapText="1"/>
    </xf>
    <xf numFmtId="166" fontId="33" fillId="0" borderId="8" xfId="22" applyNumberFormat="1" applyFont="1" applyFill="1" applyBorder="1" applyAlignment="1">
      <alignment horizontal="center" vertical="center" wrapText="1"/>
    </xf>
    <xf numFmtId="2" fontId="33" fillId="0" borderId="8" xfId="22" applyNumberFormat="1" applyFont="1" applyFill="1" applyBorder="1" applyAlignment="1">
      <alignment horizontal="center" vertical="center" wrapText="1"/>
    </xf>
    <xf numFmtId="0" fontId="33" fillId="0" borderId="23" xfId="22" applyFont="1" applyFill="1" applyBorder="1" applyAlignment="1">
      <alignment horizontal="center" vertical="center" wrapText="1"/>
    </xf>
    <xf numFmtId="2" fontId="5" fillId="22" borderId="5" xfId="22" applyNumberFormat="1" applyFont="1" applyFill="1" applyBorder="1" applyAlignment="1">
      <alignment horizontal="center" vertical="center" wrapText="1"/>
    </xf>
    <xf numFmtId="0" fontId="41" fillId="22" borderId="0" xfId="0" applyFont="1" applyFill="1" applyAlignment="1">
      <alignment wrapText="1"/>
    </xf>
    <xf numFmtId="0" fontId="41" fillId="22" borderId="0" xfId="0" applyFont="1" applyFill="1" applyAlignment="1">
      <alignment horizontal="center" vertical="center" wrapText="1"/>
    </xf>
    <xf numFmtId="0" fontId="0" fillId="22" borderId="0" xfId="0" applyFont="1" applyFill="1" applyAlignment="1">
      <alignment wrapText="1"/>
    </xf>
    <xf numFmtId="14" fontId="33" fillId="0" borderId="3" xfId="22" applyNumberFormat="1" applyFont="1" applyFill="1" applyBorder="1" applyAlignment="1">
      <alignment horizontal="center" vertical="center" wrapText="1"/>
    </xf>
    <xf numFmtId="49" fontId="33" fillId="18" borderId="3" xfId="22" applyNumberFormat="1" applyFont="1" applyFill="1" applyBorder="1" applyAlignment="1">
      <alignment horizontal="center" vertical="center" wrapText="1"/>
    </xf>
    <xf numFmtId="14" fontId="33" fillId="0" borderId="6" xfId="22" applyNumberFormat="1" applyFont="1" applyFill="1" applyBorder="1" applyAlignment="1">
      <alignment horizontal="center" vertical="center" wrapText="1"/>
    </xf>
    <xf numFmtId="0" fontId="33" fillId="18" borderId="3" xfId="22" applyFont="1" applyFill="1" applyBorder="1" applyAlignment="1">
      <alignment horizontal="center" vertical="center" wrapText="1"/>
    </xf>
    <xf numFmtId="14" fontId="33" fillId="18" borderId="3" xfId="22" applyNumberFormat="1" applyFont="1" applyFill="1" applyBorder="1" applyAlignment="1">
      <alignment horizontal="center" vertical="center" wrapText="1"/>
    </xf>
    <xf numFmtId="0" fontId="44" fillId="0" borderId="19" xfId="22" applyFont="1" applyFill="1" applyBorder="1" applyAlignment="1">
      <alignment horizontal="left" vertical="center" wrapText="1"/>
    </xf>
    <xf numFmtId="0" fontId="44" fillId="0" borderId="19" xfId="22" applyFont="1" applyFill="1" applyBorder="1" applyAlignment="1">
      <alignment horizontal="center" vertical="center" wrapText="1"/>
    </xf>
    <xf numFmtId="0" fontId="44" fillId="0" borderId="3" xfId="22" applyFont="1" applyFill="1" applyBorder="1" applyAlignment="1">
      <alignment horizontal="left" vertical="center" wrapText="1"/>
    </xf>
    <xf numFmtId="14" fontId="44" fillId="0" borderId="6" xfId="22" applyNumberFormat="1" applyFont="1" applyFill="1" applyBorder="1" applyAlignment="1">
      <alignment horizontal="center" vertical="center" wrapText="1"/>
    </xf>
    <xf numFmtId="49" fontId="44" fillId="0" borderId="8" xfId="22" applyNumberFormat="1" applyFont="1" applyFill="1" applyBorder="1" applyAlignment="1">
      <alignment horizontal="center" vertical="center" wrapText="1"/>
    </xf>
    <xf numFmtId="14" fontId="38" fillId="0" borderId="3" xfId="22" applyNumberFormat="1" applyFont="1" applyBorder="1" applyAlignment="1">
      <alignment horizontal="center" vertical="center" wrapText="1"/>
    </xf>
    <xf numFmtId="0" fontId="44" fillId="18" borderId="3" xfId="22" applyFont="1" applyFill="1" applyBorder="1" applyAlignment="1">
      <alignment horizontal="left" vertical="center" wrapText="1"/>
    </xf>
    <xf numFmtId="0" fontId="44" fillId="18" borderId="3" xfId="22" applyFont="1" applyFill="1" applyBorder="1" applyAlignment="1">
      <alignment horizontal="center" vertical="center" wrapText="1"/>
    </xf>
    <xf numFmtId="1" fontId="44" fillId="18" borderId="20" xfId="22" applyNumberFormat="1" applyFont="1" applyFill="1" applyBorder="1" applyAlignment="1">
      <alignment horizontal="center" vertical="center" wrapText="1"/>
    </xf>
    <xf numFmtId="49" fontId="44" fillId="18" borderId="20" xfId="22" applyNumberFormat="1" applyFont="1" applyFill="1" applyBorder="1" applyAlignment="1">
      <alignment horizontal="center" vertical="center" wrapText="1"/>
    </xf>
    <xf numFmtId="49" fontId="44" fillId="18" borderId="3" xfId="22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wrapText="1"/>
    </xf>
    <xf numFmtId="14" fontId="44" fillId="0" borderId="20" xfId="22" applyNumberFormat="1" applyFont="1" applyFill="1" applyBorder="1" applyAlignment="1">
      <alignment horizontal="center" vertical="center" wrapText="1"/>
    </xf>
    <xf numFmtId="2" fontId="5" fillId="23" borderId="21" xfId="22" applyNumberFormat="1" applyFont="1" applyFill="1" applyBorder="1" applyAlignment="1">
      <alignment horizontal="center" vertical="center" wrapText="1"/>
    </xf>
    <xf numFmtId="0" fontId="5" fillId="23" borderId="3" xfId="22" applyFont="1" applyFill="1" applyBorder="1" applyAlignment="1">
      <alignment horizontal="left" vertical="center" wrapText="1"/>
    </xf>
    <xf numFmtId="0" fontId="5" fillId="23" borderId="3" xfId="22" applyFont="1" applyFill="1" applyBorder="1" applyAlignment="1">
      <alignment horizontal="center" vertical="center" wrapText="1"/>
    </xf>
    <xf numFmtId="1" fontId="5" fillId="23" borderId="3" xfId="22" applyNumberFormat="1" applyFont="1" applyFill="1" applyBorder="1" applyAlignment="1">
      <alignment horizontal="center" vertical="center" wrapText="1"/>
    </xf>
    <xf numFmtId="49" fontId="5" fillId="23" borderId="3" xfId="22" applyNumberFormat="1" applyFont="1" applyFill="1" applyBorder="1" applyAlignment="1">
      <alignment horizontal="center" vertical="center" wrapText="1"/>
    </xf>
    <xf numFmtId="166" fontId="5" fillId="23" borderId="3" xfId="22" applyNumberFormat="1" applyFont="1" applyFill="1" applyBorder="1" applyAlignment="1">
      <alignment horizontal="center" vertical="center" wrapText="1"/>
    </xf>
    <xf numFmtId="2" fontId="5" fillId="23" borderId="3" xfId="22" applyNumberFormat="1" applyFont="1" applyFill="1" applyBorder="1" applyAlignment="1">
      <alignment horizontal="center" vertical="center" wrapText="1"/>
    </xf>
    <xf numFmtId="1" fontId="5" fillId="23" borderId="20" xfId="22" applyNumberFormat="1" applyFont="1" applyFill="1" applyBorder="1" applyAlignment="1">
      <alignment horizontal="center" vertical="center" wrapText="1"/>
    </xf>
    <xf numFmtId="49" fontId="5" fillId="23" borderId="20" xfId="22" applyNumberFormat="1" applyFont="1" applyFill="1" applyBorder="1" applyAlignment="1">
      <alignment horizontal="center" vertical="center" wrapText="1"/>
    </xf>
    <xf numFmtId="14" fontId="5" fillId="23" borderId="6" xfId="22" applyNumberFormat="1" applyFont="1" applyFill="1" applyBorder="1" applyAlignment="1">
      <alignment horizontal="center" vertical="center" wrapText="1"/>
    </xf>
    <xf numFmtId="49" fontId="5" fillId="23" borderId="6" xfId="22" applyNumberFormat="1" applyFont="1" applyFill="1" applyBorder="1" applyAlignment="1">
      <alignment horizontal="center" vertical="center" wrapText="1"/>
    </xf>
    <xf numFmtId="165" fontId="5" fillId="23" borderId="3" xfId="22" applyNumberFormat="1" applyFont="1" applyFill="1" applyBorder="1" applyAlignment="1">
      <alignment horizontal="center" vertical="center" wrapText="1"/>
    </xf>
    <xf numFmtId="166" fontId="5" fillId="23" borderId="5" xfId="22" applyNumberFormat="1" applyFont="1" applyFill="1" applyBorder="1" applyAlignment="1">
      <alignment horizontal="center" vertical="center" wrapText="1"/>
    </xf>
    <xf numFmtId="2" fontId="5" fillId="23" borderId="5" xfId="22" applyNumberFormat="1" applyFont="1" applyFill="1" applyBorder="1" applyAlignment="1">
      <alignment horizontal="center" vertical="center" wrapText="1"/>
    </xf>
    <xf numFmtId="0" fontId="5" fillId="23" borderId="19" xfId="22" applyFont="1" applyFill="1" applyBorder="1" applyAlignment="1">
      <alignment horizontal="left" vertical="center" wrapText="1"/>
    </xf>
    <xf numFmtId="0" fontId="5" fillId="23" borderId="19" xfId="22" applyFont="1" applyFill="1" applyBorder="1" applyAlignment="1">
      <alignment horizontal="center" vertical="center" wrapText="1"/>
    </xf>
    <xf numFmtId="166" fontId="5" fillId="23" borderId="8" xfId="22" applyNumberFormat="1" applyFont="1" applyFill="1" applyBorder="1" applyAlignment="1">
      <alignment horizontal="center" vertical="center" wrapText="1"/>
    </xf>
    <xf numFmtId="2" fontId="5" fillId="23" borderId="8" xfId="22" applyNumberFormat="1" applyFont="1" applyFill="1" applyBorder="1" applyAlignment="1">
      <alignment horizontal="center" vertical="center" wrapText="1"/>
    </xf>
    <xf numFmtId="166" fontId="5" fillId="23" borderId="4" xfId="22" applyNumberFormat="1" applyFont="1" applyFill="1" applyBorder="1" applyAlignment="1">
      <alignment horizontal="center" vertical="center" wrapText="1"/>
    </xf>
    <xf numFmtId="2" fontId="5" fillId="23" borderId="4" xfId="22" applyNumberFormat="1" applyFont="1" applyFill="1" applyBorder="1" applyAlignment="1">
      <alignment horizontal="center" vertical="center" wrapText="1"/>
    </xf>
    <xf numFmtId="14" fontId="5" fillId="23" borderId="3" xfId="22" applyNumberFormat="1" applyFont="1" applyFill="1" applyBorder="1" applyAlignment="1">
      <alignment horizontal="center" vertical="center" wrapText="1"/>
    </xf>
    <xf numFmtId="49" fontId="5" fillId="23" borderId="0" xfId="22" applyNumberFormat="1" applyFont="1" applyFill="1" applyAlignment="1">
      <alignment horizontal="center" vertical="center" wrapText="1"/>
    </xf>
    <xf numFmtId="49" fontId="5" fillId="23" borderId="5" xfId="22" applyNumberFormat="1" applyFont="1" applyFill="1" applyBorder="1" applyAlignment="1">
      <alignment horizontal="center" vertical="center" wrapText="1"/>
    </xf>
    <xf numFmtId="0" fontId="5" fillId="23" borderId="5" xfId="22" applyFont="1" applyFill="1" applyBorder="1" applyAlignment="1">
      <alignment horizontal="center" vertical="center" wrapText="1"/>
    </xf>
    <xf numFmtId="0" fontId="5" fillId="23" borderId="20" xfId="22" applyFont="1" applyFill="1" applyBorder="1" applyAlignment="1">
      <alignment horizontal="center" vertical="center" wrapText="1"/>
    </xf>
    <xf numFmtId="166" fontId="5" fillId="23" borderId="19" xfId="22" applyNumberFormat="1" applyFont="1" applyFill="1" applyBorder="1" applyAlignment="1">
      <alignment horizontal="center" vertical="center" wrapText="1"/>
    </xf>
    <xf numFmtId="2" fontId="5" fillId="23" borderId="19" xfId="22" applyNumberFormat="1" applyFont="1" applyFill="1" applyBorder="1" applyAlignment="1">
      <alignment horizontal="center" vertical="center" wrapText="1"/>
    </xf>
    <xf numFmtId="0" fontId="5" fillId="23" borderId="6" xfId="22" applyFont="1" applyFill="1" applyBorder="1" applyAlignment="1">
      <alignment horizontal="center" vertical="center" wrapText="1"/>
    </xf>
    <xf numFmtId="1" fontId="5" fillId="23" borderId="3" xfId="22" applyNumberFormat="1" applyFont="1" applyFill="1" applyBorder="1" applyAlignment="1">
      <alignment horizontal="left" vertical="center" wrapText="1"/>
    </xf>
    <xf numFmtId="1" fontId="5" fillId="23" borderId="22" xfId="22" applyNumberFormat="1" applyFont="1" applyFill="1" applyBorder="1" applyAlignment="1">
      <alignment horizontal="center" vertical="center" wrapText="1"/>
    </xf>
    <xf numFmtId="49" fontId="5" fillId="23" borderId="19" xfId="22" applyNumberFormat="1" applyFont="1" applyFill="1" applyBorder="1" applyAlignment="1">
      <alignment horizontal="center" vertical="center" wrapText="1"/>
    </xf>
    <xf numFmtId="0" fontId="5" fillId="23" borderId="3" xfId="2" applyFont="1" applyFill="1" applyBorder="1" applyAlignment="1">
      <alignment horizontal="center" vertical="center" wrapText="1"/>
    </xf>
    <xf numFmtId="0" fontId="5" fillId="23" borderId="3" xfId="22" applyFont="1" applyFill="1" applyBorder="1" applyAlignment="1">
      <alignment vertical="center" wrapText="1"/>
    </xf>
    <xf numFmtId="0" fontId="30" fillId="23" borderId="6" xfId="24" applyFont="1" applyFill="1" applyBorder="1" applyAlignment="1">
      <alignment horizontal="left" vertical="center" wrapText="1"/>
    </xf>
    <xf numFmtId="169" fontId="5" fillId="23" borderId="3" xfId="22" applyNumberFormat="1" applyFont="1" applyFill="1" applyBorder="1" applyAlignment="1">
      <alignment horizontal="center" vertical="center" wrapText="1"/>
    </xf>
    <xf numFmtId="166" fontId="5" fillId="22" borderId="6" xfId="22" applyNumberFormat="1" applyFont="1" applyFill="1" applyBorder="1" applyAlignment="1">
      <alignment horizontal="center" vertical="center" wrapText="1"/>
    </xf>
    <xf numFmtId="2" fontId="41" fillId="22" borderId="3" xfId="0" applyNumberFormat="1" applyFont="1" applyFill="1" applyBorder="1" applyAlignment="1">
      <alignment horizontal="center" vertical="center" wrapText="1"/>
    </xf>
    <xf numFmtId="14" fontId="5" fillId="23" borderId="20" xfId="22" applyNumberFormat="1" applyFont="1" applyFill="1" applyBorder="1" applyAlignment="1">
      <alignment horizontal="center" vertical="center" wrapText="1"/>
    </xf>
    <xf numFmtId="166" fontId="7" fillId="23" borderId="19" xfId="22" applyNumberFormat="1" applyFont="1" applyFill="1" applyBorder="1" applyAlignment="1">
      <alignment horizontal="center" vertical="center" wrapText="1"/>
    </xf>
    <xf numFmtId="166" fontId="5" fillId="23" borderId="21" xfId="22" applyNumberFormat="1" applyFont="1" applyFill="1" applyBorder="1" applyAlignment="1">
      <alignment horizontal="center" vertical="center" wrapText="1"/>
    </xf>
    <xf numFmtId="1" fontId="5" fillId="23" borderId="5" xfId="22" applyNumberFormat="1" applyFont="1" applyFill="1" applyBorder="1" applyAlignment="1">
      <alignment horizontal="center" vertical="center" wrapText="1"/>
    </xf>
    <xf numFmtId="168" fontId="5" fillId="18" borderId="4" xfId="22" applyNumberFormat="1" applyFont="1" applyFill="1" applyBorder="1" applyAlignment="1">
      <alignment horizontal="center" vertical="center" wrapText="1"/>
    </xf>
    <xf numFmtId="2" fontId="5" fillId="18" borderId="3" xfId="22" applyNumberFormat="1" applyFont="1" applyFill="1" applyBorder="1" applyAlignment="1">
      <alignment horizontal="left" vertical="center" wrapText="1"/>
    </xf>
    <xf numFmtId="0" fontId="41" fillId="0" borderId="0" xfId="0" applyFont="1" applyAlignment="1">
      <alignment wrapText="1"/>
    </xf>
    <xf numFmtId="14" fontId="38" fillId="22" borderId="3" xfId="22" applyNumberFormat="1" applyFont="1" applyFill="1" applyBorder="1" applyAlignment="1">
      <alignment horizontal="center" vertical="center" wrapText="1"/>
    </xf>
    <xf numFmtId="14" fontId="31" fillId="18" borderId="3" xfId="22" applyNumberFormat="1" applyFont="1" applyFill="1" applyBorder="1" applyAlignment="1">
      <alignment horizontal="center" vertical="center" wrapText="1"/>
    </xf>
    <xf numFmtId="0" fontId="47" fillId="0" borderId="0" xfId="0" applyFont="1" applyAlignment="1">
      <alignment wrapText="1"/>
    </xf>
    <xf numFmtId="14" fontId="31" fillId="23" borderId="3" xfId="22" applyNumberFormat="1" applyFont="1" applyFill="1" applyBorder="1" applyAlignment="1">
      <alignment horizontal="center" vertical="center" wrapText="1"/>
    </xf>
    <xf numFmtId="14" fontId="5" fillId="23" borderId="5" xfId="22" applyNumberFormat="1" applyFont="1" applyFill="1" applyBorder="1" applyAlignment="1">
      <alignment horizontal="center" vertical="center" wrapText="1"/>
    </xf>
    <xf numFmtId="0" fontId="0" fillId="23" borderId="0" xfId="0" applyFill="1" applyAlignment="1">
      <alignment wrapText="1"/>
    </xf>
    <xf numFmtId="0" fontId="5" fillId="23" borderId="19" xfId="22" applyNumberFormat="1" applyFont="1" applyFill="1" applyBorder="1" applyAlignment="1">
      <alignment horizontal="center" vertical="center" wrapText="1"/>
    </xf>
    <xf numFmtId="14" fontId="5" fillId="23" borderId="19" xfId="22" applyNumberFormat="1" applyFont="1" applyFill="1" applyBorder="1" applyAlignment="1">
      <alignment horizontal="center" vertical="center" wrapText="1"/>
    </xf>
    <xf numFmtId="1" fontId="5" fillId="23" borderId="19" xfId="22" applyNumberFormat="1" applyFont="1" applyFill="1" applyBorder="1" applyAlignment="1">
      <alignment horizontal="left" vertical="center" wrapText="1"/>
    </xf>
    <xf numFmtId="1" fontId="5" fillId="23" borderId="19" xfId="22" applyNumberFormat="1" applyFont="1" applyFill="1" applyBorder="1" applyAlignment="1">
      <alignment horizontal="center" vertical="center" wrapText="1"/>
    </xf>
    <xf numFmtId="14" fontId="6" fillId="0" borderId="3" xfId="22" applyNumberFormat="1" applyFont="1" applyFill="1" applyBorder="1" applyAlignment="1">
      <alignment horizontal="center" vertical="center" wrapText="1"/>
    </xf>
    <xf numFmtId="14" fontId="44" fillId="0" borderId="3" xfId="22" applyNumberFormat="1" applyFont="1" applyFill="1" applyBorder="1" applyAlignment="1">
      <alignment horizontal="center" vertical="center" wrapText="1"/>
    </xf>
    <xf numFmtId="14" fontId="5" fillId="0" borderId="5" xfId="22" applyNumberFormat="1" applyFont="1" applyFill="1" applyBorder="1" applyAlignment="1">
      <alignment horizontal="center" vertical="center" wrapText="1"/>
    </xf>
    <xf numFmtId="14" fontId="33" fillId="0" borderId="5" xfId="22" applyNumberFormat="1" applyFont="1" applyFill="1" applyBorder="1" applyAlignment="1">
      <alignment horizontal="center" vertical="center" wrapText="1"/>
    </xf>
    <xf numFmtId="14" fontId="5" fillId="0" borderId="8" xfId="22" applyNumberFormat="1" applyFont="1" applyFill="1" applyBorder="1" applyAlignment="1">
      <alignment horizontal="center" vertical="center" wrapText="1"/>
    </xf>
    <xf numFmtId="14" fontId="33" fillId="0" borderId="20" xfId="22" applyNumberFormat="1" applyFont="1" applyFill="1" applyBorder="1" applyAlignment="1">
      <alignment horizontal="center" vertical="center" wrapText="1"/>
    </xf>
    <xf numFmtId="14" fontId="39" fillId="0" borderId="3" xfId="22" applyNumberFormat="1" applyFont="1" applyFill="1" applyBorder="1" applyAlignment="1">
      <alignment horizontal="center" vertical="center" wrapText="1"/>
    </xf>
    <xf numFmtId="0" fontId="7" fillId="23" borderId="3" xfId="22" applyFont="1" applyFill="1" applyBorder="1" applyAlignment="1">
      <alignment horizontal="center" vertical="center" wrapText="1"/>
    </xf>
    <xf numFmtId="0" fontId="41" fillId="23" borderId="0" xfId="0" applyFont="1" applyFill="1" applyAlignment="1">
      <alignment wrapText="1"/>
    </xf>
    <xf numFmtId="166" fontId="5" fillId="22" borderId="3" xfId="22" applyNumberFormat="1" applyFont="1" applyFill="1" applyBorder="1" applyAlignment="1">
      <alignment horizontal="left" vertical="center" wrapText="1"/>
    </xf>
    <xf numFmtId="0" fontId="53" fillId="22" borderId="0" xfId="0" applyFont="1" applyFill="1" applyAlignment="1">
      <alignment wrapText="1"/>
    </xf>
    <xf numFmtId="1" fontId="5" fillId="22" borderId="22" xfId="22" applyNumberFormat="1" applyFont="1" applyFill="1" applyBorder="1" applyAlignment="1">
      <alignment horizontal="center" vertical="center" wrapText="1"/>
    </xf>
    <xf numFmtId="0" fontId="54" fillId="0" borderId="0" xfId="0" applyFont="1" applyAlignment="1">
      <alignment wrapText="1"/>
    </xf>
    <xf numFmtId="1" fontId="5" fillId="22" borderId="19" xfId="22" applyNumberFormat="1" applyFont="1" applyFill="1" applyBorder="1" applyAlignment="1">
      <alignment horizontal="center" vertical="center" wrapText="1"/>
    </xf>
    <xf numFmtId="0" fontId="34" fillId="22" borderId="3" xfId="22" applyFont="1" applyFill="1" applyBorder="1" applyAlignment="1">
      <alignment horizontal="center" vertical="center" wrapText="1"/>
    </xf>
    <xf numFmtId="2" fontId="58" fillId="0" borderId="3" xfId="0" applyNumberFormat="1" applyFont="1" applyBorder="1" applyAlignment="1">
      <alignment horizontal="center" vertical="center" wrapText="1"/>
    </xf>
    <xf numFmtId="2" fontId="56" fillId="0" borderId="3" xfId="0" applyNumberFormat="1" applyFont="1" applyBorder="1" applyAlignment="1">
      <alignment horizontal="center" vertical="center" wrapText="1"/>
    </xf>
    <xf numFmtId="2" fontId="57" fillId="0" borderId="3" xfId="0" applyNumberFormat="1" applyFont="1" applyBorder="1" applyAlignment="1">
      <alignment horizontal="center" vertical="center" wrapText="1"/>
    </xf>
    <xf numFmtId="0" fontId="56" fillId="0" borderId="3" xfId="0" applyFont="1" applyBorder="1" applyAlignment="1">
      <alignment horizontal="center" vertical="center" wrapText="1"/>
    </xf>
    <xf numFmtId="2" fontId="58" fillId="18" borderId="3" xfId="0" applyNumberFormat="1" applyFont="1" applyFill="1" applyBorder="1" applyAlignment="1">
      <alignment horizontal="center" vertical="center" wrapText="1"/>
    </xf>
    <xf numFmtId="2" fontId="56" fillId="18" borderId="3" xfId="0" applyNumberFormat="1" applyFont="1" applyFill="1" applyBorder="1" applyAlignment="1">
      <alignment horizontal="center" vertical="center" wrapText="1"/>
    </xf>
    <xf numFmtId="2" fontId="57" fillId="18" borderId="3" xfId="0" applyNumberFormat="1" applyFont="1" applyFill="1" applyBorder="1" applyAlignment="1">
      <alignment horizontal="center" vertical="center" wrapText="1"/>
    </xf>
    <xf numFmtId="2" fontId="60" fillId="0" borderId="3" xfId="0" applyNumberFormat="1" applyFont="1" applyBorder="1" applyAlignment="1">
      <alignment horizontal="center" vertical="center" wrapText="1"/>
    </xf>
    <xf numFmtId="4" fontId="56" fillId="0" borderId="3" xfId="0" applyNumberFormat="1" applyFont="1" applyBorder="1" applyAlignment="1">
      <alignment horizontal="center" vertical="center" wrapText="1"/>
    </xf>
    <xf numFmtId="2" fontId="61" fillId="0" borderId="3" xfId="0" applyNumberFormat="1" applyFont="1" applyBorder="1" applyAlignment="1">
      <alignment horizontal="center" vertical="center" wrapText="1"/>
    </xf>
    <xf numFmtId="4" fontId="58" fillId="0" borderId="3" xfId="0" applyNumberFormat="1" applyFont="1" applyBorder="1" applyAlignment="1">
      <alignment horizontal="center" vertical="center" wrapText="1"/>
    </xf>
    <xf numFmtId="2" fontId="60" fillId="18" borderId="3" xfId="0" applyNumberFormat="1" applyFont="1" applyFill="1" applyBorder="1" applyAlignment="1">
      <alignment horizontal="center" vertical="center" wrapText="1"/>
    </xf>
    <xf numFmtId="2" fontId="58" fillId="22" borderId="3" xfId="0" applyNumberFormat="1" applyFont="1" applyFill="1" applyBorder="1" applyAlignment="1">
      <alignment horizontal="center" vertical="center" wrapText="1"/>
    </xf>
    <xf numFmtId="2" fontId="56" fillId="22" borderId="3" xfId="0" applyNumberFormat="1" applyFont="1" applyFill="1" applyBorder="1" applyAlignment="1">
      <alignment horizontal="center" vertical="center" wrapText="1"/>
    </xf>
    <xf numFmtId="2" fontId="57" fillId="22" borderId="3" xfId="0" applyNumberFormat="1" applyFont="1" applyFill="1" applyBorder="1" applyAlignment="1">
      <alignment horizontal="center" vertical="center" wrapText="1"/>
    </xf>
    <xf numFmtId="2" fontId="62" fillId="0" borderId="3" xfId="0" applyNumberFormat="1" applyFont="1" applyBorder="1" applyAlignment="1">
      <alignment horizontal="center" vertical="center" wrapText="1"/>
    </xf>
    <xf numFmtId="4" fontId="62" fillId="0" borderId="3" xfId="0" applyNumberFormat="1" applyFont="1" applyBorder="1" applyAlignment="1">
      <alignment horizontal="center" vertical="center" wrapText="1"/>
    </xf>
    <xf numFmtId="2" fontId="58" fillId="23" borderId="3" xfId="0" applyNumberFormat="1" applyFont="1" applyFill="1" applyBorder="1" applyAlignment="1">
      <alignment horizontal="center" vertical="center" wrapText="1"/>
    </xf>
    <xf numFmtId="2" fontId="56" fillId="23" borderId="3" xfId="0" applyNumberFormat="1" applyFont="1" applyFill="1" applyBorder="1" applyAlignment="1">
      <alignment horizontal="center" vertical="center" wrapText="1"/>
    </xf>
    <xf numFmtId="170" fontId="58" fillId="23" borderId="3" xfId="0" applyNumberFormat="1" applyFont="1" applyFill="1" applyBorder="1" applyAlignment="1">
      <alignment horizontal="center" vertical="center" wrapText="1"/>
    </xf>
    <xf numFmtId="0" fontId="56" fillId="23" borderId="3" xfId="0" applyFont="1" applyFill="1" applyBorder="1" applyAlignment="1">
      <alignment horizontal="center" vertical="center" wrapText="1"/>
    </xf>
    <xf numFmtId="2" fontId="60" fillId="22" borderId="3" xfId="0" applyNumberFormat="1" applyFont="1" applyFill="1" applyBorder="1" applyAlignment="1">
      <alignment horizontal="center" vertical="center" wrapText="1"/>
    </xf>
    <xf numFmtId="2" fontId="62" fillId="18" borderId="3" xfId="0" applyNumberFormat="1" applyFont="1" applyFill="1" applyBorder="1" applyAlignment="1">
      <alignment horizontal="center" vertical="center" wrapText="1"/>
    </xf>
    <xf numFmtId="0" fontId="58" fillId="22" borderId="3" xfId="0" applyFont="1" applyFill="1" applyBorder="1" applyAlignment="1">
      <alignment horizontal="center" vertical="center" wrapText="1"/>
    </xf>
    <xf numFmtId="2" fontId="60" fillId="23" borderId="3" xfId="0" applyNumberFormat="1" applyFont="1" applyFill="1" applyBorder="1" applyAlignment="1">
      <alignment horizontal="center" vertical="center" wrapText="1"/>
    </xf>
    <xf numFmtId="0" fontId="60" fillId="23" borderId="3" xfId="0" applyFont="1" applyFill="1" applyBorder="1" applyAlignment="1">
      <alignment horizontal="center" vertical="center" wrapText="1"/>
    </xf>
    <xf numFmtId="4" fontId="56" fillId="23" borderId="3" xfId="0" applyNumberFormat="1" applyFont="1" applyFill="1" applyBorder="1" applyAlignment="1">
      <alignment horizontal="center" vertical="center" wrapText="1"/>
    </xf>
    <xf numFmtId="4" fontId="56" fillId="22" borderId="3" xfId="0" applyNumberFormat="1" applyFont="1" applyFill="1" applyBorder="1" applyAlignment="1">
      <alignment horizontal="center" vertical="center" wrapText="1"/>
    </xf>
    <xf numFmtId="0" fontId="58" fillId="23" borderId="3" xfId="0" applyFont="1" applyFill="1" applyBorder="1" applyAlignment="1">
      <alignment horizontal="center" vertical="center" wrapText="1"/>
    </xf>
    <xf numFmtId="2" fontId="61" fillId="22" borderId="3" xfId="0" applyNumberFormat="1" applyFont="1" applyFill="1" applyBorder="1" applyAlignment="1">
      <alignment horizontal="center" vertical="center" wrapText="1"/>
    </xf>
    <xf numFmtId="0" fontId="60" fillId="22" borderId="3" xfId="0" applyFont="1" applyFill="1" applyBorder="1" applyAlignment="1">
      <alignment horizontal="center" vertical="center" wrapText="1"/>
    </xf>
    <xf numFmtId="4" fontId="41" fillId="22" borderId="3" xfId="0" applyNumberFormat="1" applyFont="1" applyFill="1" applyBorder="1"/>
    <xf numFmtId="4" fontId="58" fillId="22" borderId="3" xfId="0" applyNumberFormat="1" applyFont="1" applyFill="1" applyBorder="1" applyAlignment="1">
      <alignment horizontal="center" vertical="center" wrapText="1"/>
    </xf>
    <xf numFmtId="4" fontId="64" fillId="0" borderId="0" xfId="0" applyNumberFormat="1" applyFont="1"/>
    <xf numFmtId="4" fontId="0" fillId="0" borderId="0" xfId="0" applyNumberFormat="1" applyAlignment="1">
      <alignment horizontal="center" vertical="center" wrapText="1"/>
    </xf>
    <xf numFmtId="164" fontId="5" fillId="18" borderId="3" xfId="32" applyFont="1" applyFill="1" applyBorder="1" applyAlignment="1">
      <alignment vertical="center" wrapText="1"/>
    </xf>
    <xf numFmtId="164" fontId="5" fillId="0" borderId="3" xfId="32" applyFont="1" applyFill="1" applyBorder="1" applyAlignment="1">
      <alignment vertical="center" wrapText="1"/>
    </xf>
    <xf numFmtId="164" fontId="5" fillId="22" borderId="3" xfId="32" applyFont="1" applyFill="1" applyBorder="1" applyAlignment="1">
      <alignment vertical="center" wrapText="1"/>
    </xf>
    <xf numFmtId="164" fontId="6" fillId="0" borderId="3" xfId="32" applyFont="1" applyFill="1" applyBorder="1" applyAlignment="1">
      <alignment vertical="center" wrapText="1"/>
    </xf>
    <xf numFmtId="164" fontId="5" fillId="0" borderId="3" xfId="32" applyFont="1" applyBorder="1" applyAlignment="1">
      <alignment vertical="center" wrapText="1"/>
    </xf>
    <xf numFmtId="164" fontId="44" fillId="0" borderId="3" xfId="32" applyFont="1" applyFill="1" applyBorder="1" applyAlignment="1">
      <alignment vertical="center" wrapText="1"/>
    </xf>
    <xf numFmtId="164" fontId="33" fillId="0" borderId="3" xfId="32" applyFont="1" applyFill="1" applyBorder="1" applyAlignment="1">
      <alignment vertical="center" wrapText="1"/>
    </xf>
    <xf numFmtId="164" fontId="5" fillId="23" borderId="3" xfId="32" applyFont="1" applyFill="1" applyBorder="1" applyAlignment="1">
      <alignment vertical="center" wrapText="1"/>
    </xf>
    <xf numFmtId="164" fontId="33" fillId="18" borderId="3" xfId="32" applyFont="1" applyFill="1" applyBorder="1" applyAlignment="1">
      <alignment vertical="center" wrapText="1"/>
    </xf>
    <xf numFmtId="164" fontId="41" fillId="22" borderId="3" xfId="32" applyFont="1" applyFill="1" applyBorder="1" applyAlignment="1">
      <alignment vertical="center" wrapText="1"/>
    </xf>
    <xf numFmtId="0" fontId="5" fillId="23" borderId="3" xfId="22" applyNumberFormat="1" applyFont="1" applyFill="1" applyBorder="1" applyAlignment="1">
      <alignment horizontal="center" vertical="center" wrapText="1"/>
    </xf>
    <xf numFmtId="164" fontId="5" fillId="22" borderId="3" xfId="32" applyFont="1" applyFill="1" applyBorder="1" applyAlignment="1">
      <alignment horizontal="center" vertical="center" wrapText="1"/>
    </xf>
    <xf numFmtId="164" fontId="5" fillId="23" borderId="3" xfId="32" applyFont="1" applyFill="1" applyBorder="1" applyAlignment="1">
      <alignment horizontal="center" vertical="center"/>
    </xf>
    <xf numFmtId="0" fontId="5" fillId="21" borderId="20" xfId="22" applyFont="1" applyFill="1" applyBorder="1" applyAlignment="1">
      <alignment horizontal="center" vertical="center" wrapText="1"/>
    </xf>
    <xf numFmtId="49" fontId="5" fillId="21" borderId="3" xfId="22" applyNumberFormat="1" applyFont="1" applyFill="1" applyBorder="1" applyAlignment="1">
      <alignment horizontal="center" vertical="center" wrapText="1"/>
    </xf>
    <xf numFmtId="0" fontId="5" fillId="23" borderId="20" xfId="22" applyNumberFormat="1" applyFont="1" applyFill="1" applyBorder="1" applyAlignment="1">
      <alignment horizontal="center" vertical="center" wrapText="1"/>
    </xf>
    <xf numFmtId="4" fontId="64" fillId="0" borderId="0" xfId="0" applyNumberFormat="1" applyFont="1" applyAlignment="1">
      <alignment vertical="center"/>
    </xf>
    <xf numFmtId="0" fontId="41" fillId="18" borderId="0" xfId="0" applyFont="1" applyFill="1" applyAlignment="1">
      <alignment wrapText="1"/>
    </xf>
    <xf numFmtId="1" fontId="5" fillId="0" borderId="23" xfId="22" applyNumberFormat="1" applyFont="1" applyFill="1" applyBorder="1" applyAlignment="1">
      <alignment horizontal="center" vertical="center" wrapText="1"/>
    </xf>
    <xf numFmtId="4" fontId="56" fillId="0" borderId="19" xfId="0" applyNumberFormat="1" applyFont="1" applyBorder="1" applyAlignment="1">
      <alignment horizontal="center" vertical="center" wrapText="1"/>
    </xf>
    <xf numFmtId="0" fontId="42" fillId="22" borderId="3" xfId="22" applyFont="1" applyFill="1" applyBorder="1" applyAlignment="1">
      <alignment horizontal="center" vertical="center" wrapText="1"/>
    </xf>
    <xf numFmtId="0" fontId="64" fillId="0" borderId="0" xfId="0" applyFont="1" applyAlignment="1">
      <alignment vertical="center"/>
    </xf>
    <xf numFmtId="0" fontId="37" fillId="22" borderId="0" xfId="22" applyFont="1" applyFill="1" applyAlignment="1">
      <alignment horizontal="center" vertical="center" wrapText="1"/>
    </xf>
    <xf numFmtId="0" fontId="53" fillId="22" borderId="0" xfId="0" applyFont="1" applyFill="1" applyAlignment="1">
      <alignment vertical="center" wrapText="1"/>
    </xf>
    <xf numFmtId="0" fontId="66" fillId="0" borderId="0" xfId="0" applyFont="1" applyAlignment="1">
      <alignment wrapText="1"/>
    </xf>
    <xf numFmtId="2" fontId="29" fillId="18" borderId="3" xfId="22" applyNumberFormat="1" applyFont="1" applyFill="1" applyBorder="1" applyAlignment="1">
      <alignment horizontal="center" vertical="center" wrapText="1"/>
    </xf>
    <xf numFmtId="165" fontId="5" fillId="18" borderId="19" xfId="22" applyNumberFormat="1" applyFont="1" applyFill="1" applyBorder="1" applyAlignment="1">
      <alignment horizontal="left" vertical="center" wrapText="1"/>
    </xf>
    <xf numFmtId="2" fontId="61" fillId="18" borderId="3" xfId="0" applyNumberFormat="1" applyFont="1" applyFill="1" applyBorder="1" applyAlignment="1">
      <alignment horizontal="center" vertical="center" wrapText="1"/>
    </xf>
    <xf numFmtId="49" fontId="5" fillId="18" borderId="3" xfId="2" applyNumberFormat="1" applyFont="1" applyFill="1" applyBorder="1" applyAlignment="1">
      <alignment horizontal="center" vertical="center" wrapText="1"/>
    </xf>
    <xf numFmtId="4" fontId="56" fillId="18" borderId="3" xfId="0" applyNumberFormat="1" applyFont="1" applyFill="1" applyBorder="1" applyAlignment="1">
      <alignment horizontal="center" vertical="center" wrapText="1"/>
    </xf>
    <xf numFmtId="4" fontId="41" fillId="0" borderId="3" xfId="0" applyNumberFormat="1" applyFont="1" applyBorder="1" applyAlignment="1">
      <alignment horizontal="center" vertical="center"/>
    </xf>
    <xf numFmtId="0" fontId="53" fillId="22" borderId="0" xfId="0" applyFont="1" applyFill="1" applyBorder="1" applyAlignment="1">
      <alignment vertical="center" wrapText="1"/>
    </xf>
    <xf numFmtId="1" fontId="5" fillId="18" borderId="0" xfId="22" applyNumberFormat="1" applyFont="1" applyFill="1" applyBorder="1" applyAlignment="1">
      <alignment horizontal="center" vertical="center" wrapText="1"/>
    </xf>
    <xf numFmtId="2" fontId="60" fillId="18" borderId="0" xfId="0" applyNumberFormat="1" applyFont="1" applyFill="1" applyBorder="1" applyAlignment="1">
      <alignment horizontal="center" vertical="center" wrapText="1"/>
    </xf>
    <xf numFmtId="49" fontId="53" fillId="2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wrapText="1"/>
    </xf>
    <xf numFmtId="1" fontId="5" fillId="22" borderId="19" xfId="22" applyNumberFormat="1" applyFont="1" applyFill="1" applyBorder="1" applyAlignment="1">
      <alignment horizontal="left" vertical="center" wrapText="1"/>
    </xf>
    <xf numFmtId="2" fontId="52" fillId="0" borderId="3" xfId="0" applyNumberFormat="1" applyFont="1" applyBorder="1" applyAlignment="1">
      <alignment horizontal="center" vertical="center" wrapText="1"/>
    </xf>
    <xf numFmtId="1" fontId="29" fillId="0" borderId="19" xfId="22" applyNumberFormat="1" applyFont="1" applyFill="1" applyBorder="1" applyAlignment="1">
      <alignment horizontal="center" vertical="center" wrapText="1"/>
    </xf>
    <xf numFmtId="4" fontId="52" fillId="0" borderId="3" xfId="0" applyNumberFormat="1" applyFont="1" applyBorder="1" applyAlignment="1">
      <alignment horizontal="center" vertical="center" wrapText="1"/>
    </xf>
    <xf numFmtId="4" fontId="52" fillId="22" borderId="3" xfId="0" applyNumberFormat="1" applyFont="1" applyFill="1" applyBorder="1" applyAlignment="1">
      <alignment horizontal="center" vertical="center" wrapText="1"/>
    </xf>
    <xf numFmtId="4" fontId="52" fillId="23" borderId="3" xfId="0" applyNumberFormat="1" applyFont="1" applyFill="1" applyBorder="1" applyAlignment="1">
      <alignment horizontal="center" vertical="center" wrapText="1"/>
    </xf>
    <xf numFmtId="4" fontId="51" fillId="0" borderId="0" xfId="0" applyNumberFormat="1" applyFont="1" applyAlignment="1">
      <alignment horizontal="center" wrapText="1"/>
    </xf>
    <xf numFmtId="4" fontId="58" fillId="23" borderId="3" xfId="0" applyNumberFormat="1" applyFont="1" applyFill="1" applyBorder="1" applyAlignment="1">
      <alignment horizontal="center" vertical="center" wrapText="1"/>
    </xf>
    <xf numFmtId="0" fontId="67" fillId="23" borderId="0" xfId="0" applyFont="1" applyFill="1" applyBorder="1" applyAlignment="1">
      <alignment vertical="center" wrapText="1"/>
    </xf>
    <xf numFmtId="14" fontId="31" fillId="22" borderId="0" xfId="22" applyNumberFormat="1" applyFont="1" applyFill="1" applyAlignment="1">
      <alignment horizontal="center" vertical="center" wrapText="1"/>
    </xf>
    <xf numFmtId="169" fontId="5" fillId="22" borderId="0" xfId="0" applyNumberFormat="1" applyFont="1" applyFill="1" applyAlignment="1">
      <alignment horizontal="center" wrapText="1"/>
    </xf>
    <xf numFmtId="1" fontId="29" fillId="18" borderId="3" xfId="22" applyNumberFormat="1" applyFont="1" applyFill="1" applyBorder="1" applyAlignment="1">
      <alignment horizontal="center" vertical="center" wrapText="1"/>
    </xf>
    <xf numFmtId="2" fontId="52" fillId="18" borderId="3" xfId="0" applyNumberFormat="1" applyFont="1" applyFill="1" applyBorder="1" applyAlignment="1">
      <alignment horizontal="center" vertical="center" wrapText="1"/>
    </xf>
    <xf numFmtId="168" fontId="29" fillId="0" borderId="3" xfId="22" applyNumberFormat="1" applyFont="1" applyFill="1" applyBorder="1" applyAlignment="1">
      <alignment horizontal="center" vertical="center" wrapText="1"/>
    </xf>
    <xf numFmtId="4" fontId="72" fillId="0" borderId="3" xfId="0" applyNumberFormat="1" applyFont="1" applyBorder="1" applyAlignment="1">
      <alignment horizontal="center" vertical="center" wrapText="1"/>
    </xf>
    <xf numFmtId="0" fontId="29" fillId="0" borderId="3" xfId="22" applyFont="1" applyFill="1" applyBorder="1" applyAlignment="1">
      <alignment horizontal="left" vertical="center" wrapText="1"/>
    </xf>
    <xf numFmtId="4" fontId="64" fillId="0" borderId="0" xfId="0" applyNumberFormat="1" applyFont="1" applyAlignment="1">
      <alignment horizontal="center" vertical="center"/>
    </xf>
    <xf numFmtId="1" fontId="44" fillId="0" borderId="19" xfId="22" applyNumberFormat="1" applyFont="1" applyFill="1" applyBorder="1" applyAlignment="1">
      <alignment horizontal="center" vertical="center" wrapText="1"/>
    </xf>
    <xf numFmtId="4" fontId="60" fillId="0" borderId="3" xfId="0" applyNumberFormat="1" applyFont="1" applyBorder="1" applyAlignment="1">
      <alignment horizontal="center" vertical="center" wrapText="1"/>
    </xf>
    <xf numFmtId="4" fontId="60" fillId="22" borderId="3" xfId="0" applyNumberFormat="1" applyFont="1" applyFill="1" applyBorder="1" applyAlignment="1">
      <alignment horizontal="center" vertical="center" wrapText="1"/>
    </xf>
    <xf numFmtId="1" fontId="7" fillId="0" borderId="3" xfId="22" applyNumberFormat="1" applyFont="1" applyFill="1" applyBorder="1" applyAlignment="1">
      <alignment horizontal="center" vertical="center" wrapText="1"/>
    </xf>
    <xf numFmtId="49" fontId="7" fillId="0" borderId="3" xfId="22" applyNumberFormat="1" applyFont="1" applyFill="1" applyBorder="1" applyAlignment="1">
      <alignment horizontal="center" vertical="center" wrapText="1"/>
    </xf>
    <xf numFmtId="49" fontId="5" fillId="0" borderId="26" xfId="2" applyNumberFormat="1" applyFont="1" applyBorder="1" applyAlignment="1">
      <alignment horizontal="center" vertical="center" wrapText="1"/>
    </xf>
    <xf numFmtId="14" fontId="7" fillId="0" borderId="3" xfId="22" applyNumberFormat="1" applyFont="1" applyFill="1" applyBorder="1" applyAlignment="1">
      <alignment horizontal="center" vertical="center" wrapText="1"/>
    </xf>
    <xf numFmtId="164" fontId="7" fillId="0" borderId="3" xfId="32" applyFont="1" applyFill="1" applyBorder="1" applyAlignment="1">
      <alignment vertical="center" wrapText="1"/>
    </xf>
    <xf numFmtId="0" fontId="73" fillId="23" borderId="0" xfId="0" applyFont="1" applyFill="1" applyAlignment="1">
      <alignment wrapText="1"/>
    </xf>
    <xf numFmtId="170" fontId="5" fillId="22" borderId="20" xfId="22" applyNumberFormat="1" applyFont="1" applyFill="1" applyBorder="1" applyAlignment="1">
      <alignment horizontal="center" vertical="center" wrapText="1"/>
    </xf>
    <xf numFmtId="4" fontId="60" fillId="18" borderId="3" xfId="0" applyNumberFormat="1" applyFont="1" applyFill="1" applyBorder="1" applyAlignment="1">
      <alignment horizontal="center" vertical="center" wrapText="1"/>
    </xf>
    <xf numFmtId="166" fontId="5" fillId="23" borderId="23" xfId="22" applyNumberFormat="1" applyFont="1" applyFill="1" applyBorder="1" applyAlignment="1">
      <alignment horizontal="left" vertical="center" wrapText="1"/>
    </xf>
    <xf numFmtId="1" fontId="5" fillId="23" borderId="24" xfId="22" applyNumberFormat="1" applyFont="1" applyFill="1" applyBorder="1" applyAlignment="1">
      <alignment horizontal="center" vertical="center" wrapText="1"/>
    </xf>
    <xf numFmtId="0" fontId="5" fillId="23" borderId="8" xfId="22" applyFont="1" applyFill="1" applyBorder="1" applyAlignment="1">
      <alignment horizontal="center" vertical="center" wrapText="1"/>
    </xf>
    <xf numFmtId="49" fontId="5" fillId="23" borderId="8" xfId="22" applyNumberFormat="1" applyFont="1" applyFill="1" applyBorder="1" applyAlignment="1">
      <alignment horizontal="center" vertical="center" wrapText="1"/>
    </xf>
    <xf numFmtId="166" fontId="5" fillId="23" borderId="9" xfId="22" applyNumberFormat="1" applyFont="1" applyFill="1" applyBorder="1" applyAlignment="1">
      <alignment horizontal="center" vertical="center" wrapText="1"/>
    </xf>
    <xf numFmtId="2" fontId="5" fillId="23" borderId="9" xfId="22" applyNumberFormat="1" applyFont="1" applyFill="1" applyBorder="1" applyAlignment="1">
      <alignment horizontal="center" vertical="center" wrapText="1"/>
    </xf>
    <xf numFmtId="4" fontId="60" fillId="23" borderId="3" xfId="0" applyNumberFormat="1" applyFont="1" applyFill="1" applyBorder="1" applyAlignment="1">
      <alignment horizontal="center" vertical="center" wrapText="1"/>
    </xf>
    <xf numFmtId="0" fontId="65" fillId="22" borderId="0" xfId="0" applyFont="1" applyFill="1" applyAlignment="1">
      <alignment wrapText="1"/>
    </xf>
    <xf numFmtId="0" fontId="5" fillId="23" borderId="19" xfId="2" applyFont="1" applyFill="1" applyBorder="1" applyAlignment="1">
      <alignment horizontal="center" vertical="center" wrapText="1"/>
    </xf>
    <xf numFmtId="0" fontId="67" fillId="22" borderId="0" xfId="0" applyFont="1" applyFill="1" applyBorder="1" applyAlignment="1">
      <alignment vertical="center" wrapText="1"/>
    </xf>
    <xf numFmtId="14" fontId="31" fillId="18" borderId="19" xfId="22" applyNumberFormat="1" applyFont="1" applyFill="1" applyBorder="1" applyAlignment="1">
      <alignment horizontal="center" vertical="center" wrapText="1"/>
    </xf>
    <xf numFmtId="14" fontId="31" fillId="0" borderId="20" xfId="22" applyNumberFormat="1" applyFont="1" applyFill="1" applyBorder="1" applyAlignment="1">
      <alignment horizontal="center" vertical="center" wrapText="1"/>
    </xf>
    <xf numFmtId="14" fontId="31" fillId="0" borderId="19" xfId="22" applyNumberFormat="1" applyFont="1" applyFill="1" applyBorder="1" applyAlignment="1">
      <alignment horizontal="center" vertical="center" wrapText="1"/>
    </xf>
    <xf numFmtId="14" fontId="31" fillId="22" borderId="19" xfId="22" applyNumberFormat="1" applyFont="1" applyFill="1" applyBorder="1" applyAlignment="1">
      <alignment horizontal="center" vertical="center" wrapText="1"/>
    </xf>
    <xf numFmtId="14" fontId="35" fillId="0" borderId="3" xfId="22" applyNumberFormat="1" applyFont="1" applyFill="1" applyBorder="1" applyAlignment="1">
      <alignment horizontal="center" vertical="center" wrapText="1"/>
    </xf>
    <xf numFmtId="14" fontId="32" fillId="0" borderId="19" xfId="22" applyNumberFormat="1" applyFont="1" applyFill="1" applyBorder="1" applyAlignment="1">
      <alignment horizontal="center" vertical="center" wrapText="1"/>
    </xf>
    <xf numFmtId="14" fontId="32" fillId="22" borderId="3" xfId="22" applyNumberFormat="1" applyFont="1" applyFill="1" applyBorder="1" applyAlignment="1">
      <alignment horizontal="center" vertical="center" wrapText="1"/>
    </xf>
    <xf numFmtId="14" fontId="46" fillId="0" borderId="3" xfId="22" applyNumberFormat="1" applyFont="1" applyFill="1" applyBorder="1" applyAlignment="1">
      <alignment horizontal="center" vertical="center" wrapText="1"/>
    </xf>
    <xf numFmtId="14" fontId="31" fillId="18" borderId="3" xfId="21" applyNumberFormat="1" applyFont="1" applyFill="1" applyBorder="1" applyAlignment="1">
      <alignment horizontal="center" vertical="center" wrapText="1"/>
    </xf>
    <xf numFmtId="14" fontId="31" fillId="23" borderId="19" xfId="22" applyNumberFormat="1" applyFont="1" applyFill="1" applyBorder="1" applyAlignment="1">
      <alignment horizontal="center" vertical="center" wrapText="1"/>
    </xf>
    <xf numFmtId="14" fontId="43" fillId="0" borderId="23" xfId="22" applyNumberFormat="1" applyFont="1" applyFill="1" applyBorder="1" applyAlignment="1">
      <alignment horizontal="center" vertical="center" wrapText="1"/>
    </xf>
    <xf numFmtId="14" fontId="43" fillId="0" borderId="3" xfId="22" applyNumberFormat="1" applyFont="1" applyFill="1" applyBorder="1" applyAlignment="1">
      <alignment horizontal="center" vertical="center" wrapText="1"/>
    </xf>
    <xf numFmtId="14" fontId="37" fillId="0" borderId="3" xfId="22" applyNumberFormat="1" applyFont="1" applyBorder="1" applyAlignment="1">
      <alignment horizontal="center" vertical="center" wrapText="1"/>
    </xf>
    <xf numFmtId="14" fontId="70" fillId="22" borderId="3" xfId="22" applyNumberFormat="1" applyFont="1" applyFill="1" applyBorder="1" applyAlignment="1">
      <alignment horizontal="center" vertical="center" wrapText="1"/>
    </xf>
    <xf numFmtId="14" fontId="31" fillId="21" borderId="3" xfId="22" applyNumberFormat="1" applyFont="1" applyFill="1" applyBorder="1" applyAlignment="1">
      <alignment horizontal="center" vertical="center" wrapText="1"/>
    </xf>
    <xf numFmtId="14" fontId="30" fillId="0" borderId="3" xfId="22" applyNumberFormat="1" applyFont="1" applyBorder="1" applyAlignment="1">
      <alignment horizontal="center" vertical="center" wrapText="1"/>
    </xf>
    <xf numFmtId="169" fontId="5" fillId="22" borderId="3" xfId="22" applyNumberFormat="1" applyFont="1" applyFill="1" applyBorder="1" applyAlignment="1">
      <alignment horizontal="center" vertical="center" wrapText="1"/>
    </xf>
    <xf numFmtId="4" fontId="76" fillId="18" borderId="3" xfId="0" applyNumberFormat="1" applyFont="1" applyFill="1" applyBorder="1" applyAlignment="1">
      <alignment horizontal="center" vertical="center" wrapText="1"/>
    </xf>
    <xf numFmtId="4" fontId="76" fillId="0" borderId="3" xfId="0" applyNumberFormat="1" applyFont="1" applyBorder="1" applyAlignment="1">
      <alignment horizontal="center" vertical="center" wrapText="1"/>
    </xf>
    <xf numFmtId="168" fontId="29" fillId="18" borderId="3" xfId="22" applyNumberFormat="1" applyFont="1" applyFill="1" applyBorder="1" applyAlignment="1">
      <alignment horizontal="center" vertical="center" wrapText="1"/>
    </xf>
    <xf numFmtId="1" fontId="80" fillId="0" borderId="19" xfId="22" applyNumberFormat="1" applyFont="1" applyFill="1" applyBorder="1" applyAlignment="1">
      <alignment horizontal="center" vertical="center" wrapText="1"/>
    </xf>
    <xf numFmtId="4" fontId="79" fillId="22" borderId="3" xfId="0" applyNumberFormat="1" applyFont="1" applyFill="1" applyBorder="1" applyAlignment="1">
      <alignment horizontal="center" vertical="center" wrapText="1"/>
    </xf>
    <xf numFmtId="4" fontId="79" fillId="0" borderId="3" xfId="0" applyNumberFormat="1" applyFont="1" applyBorder="1" applyAlignment="1">
      <alignment horizontal="center" vertical="center" wrapText="1"/>
    </xf>
    <xf numFmtId="4" fontId="52" fillId="18" borderId="3" xfId="0" applyNumberFormat="1" applyFont="1" applyFill="1" applyBorder="1" applyAlignment="1">
      <alignment horizontal="center" vertical="center" wrapText="1"/>
    </xf>
    <xf numFmtId="0" fontId="52" fillId="18" borderId="0" xfId="0" applyFont="1" applyFill="1" applyBorder="1" applyAlignment="1">
      <alignment horizontal="center" vertical="center" wrapText="1"/>
    </xf>
    <xf numFmtId="168" fontId="29" fillId="18" borderId="0" xfId="22" applyNumberFormat="1" applyFont="1" applyFill="1" applyBorder="1" applyAlignment="1">
      <alignment horizontal="center" vertical="center" wrapText="1"/>
    </xf>
    <xf numFmtId="4" fontId="79" fillId="18" borderId="3" xfId="0" applyNumberFormat="1" applyFont="1" applyFill="1" applyBorder="1" applyAlignment="1">
      <alignment horizontal="center" vertical="center" wrapText="1"/>
    </xf>
    <xf numFmtId="4" fontId="82" fillId="0" borderId="3" xfId="0" applyNumberFormat="1" applyFont="1" applyBorder="1" applyAlignment="1">
      <alignment horizontal="center" vertical="center" wrapText="1"/>
    </xf>
    <xf numFmtId="4" fontId="79" fillId="23" borderId="3" xfId="0" applyNumberFormat="1" applyFont="1" applyFill="1" applyBorder="1" applyAlignment="1">
      <alignment horizontal="center" vertical="center" wrapText="1"/>
    </xf>
    <xf numFmtId="4" fontId="82" fillId="18" borderId="3" xfId="0" applyNumberFormat="1" applyFont="1" applyFill="1" applyBorder="1" applyAlignment="1">
      <alignment horizontal="center" vertical="center" wrapText="1"/>
    </xf>
    <xf numFmtId="4" fontId="41" fillId="23" borderId="3" xfId="0" applyNumberFormat="1" applyFont="1" applyFill="1" applyBorder="1" applyAlignment="1">
      <alignment vertical="center"/>
    </xf>
    <xf numFmtId="2" fontId="29" fillId="19" borderId="3" xfId="22" applyNumberFormat="1" applyFont="1" applyFill="1" applyBorder="1" applyAlignment="1">
      <alignment horizontal="center" vertical="center" wrapText="1"/>
    </xf>
    <xf numFmtId="0" fontId="5" fillId="18" borderId="3" xfId="0" applyNumberFormat="1" applyFont="1" applyFill="1" applyBorder="1" applyAlignment="1">
      <alignment horizontal="center" vertical="center" wrapText="1"/>
    </xf>
    <xf numFmtId="49" fontId="42" fillId="22" borderId="3" xfId="0" applyNumberFormat="1" applyFont="1" applyFill="1" applyBorder="1" applyAlignment="1">
      <alignment horizontal="center" vertical="center" wrapText="1"/>
    </xf>
    <xf numFmtId="4" fontId="61" fillId="23" borderId="3" xfId="0" applyNumberFormat="1" applyFont="1" applyFill="1" applyBorder="1" applyAlignment="1">
      <alignment horizontal="center" vertical="center" wrapText="1"/>
    </xf>
    <xf numFmtId="0" fontId="33" fillId="18" borderId="21" xfId="22" applyFont="1" applyFill="1" applyBorder="1" applyAlignment="1">
      <alignment horizontal="left" vertical="center" wrapText="1"/>
    </xf>
    <xf numFmtId="49" fontId="33" fillId="18" borderId="20" xfId="22" applyNumberFormat="1" applyFont="1" applyFill="1" applyBorder="1" applyAlignment="1">
      <alignment horizontal="center" vertical="center" wrapText="1"/>
    </xf>
    <xf numFmtId="166" fontId="33" fillId="18" borderId="3" xfId="22" applyNumberFormat="1" applyFont="1" applyFill="1" applyBorder="1" applyAlignment="1">
      <alignment horizontal="center" vertical="center" wrapText="1"/>
    </xf>
    <xf numFmtId="0" fontId="27" fillId="23" borderId="19" xfId="2" applyFont="1" applyFill="1" applyBorder="1" applyAlignment="1">
      <alignment horizontal="center" vertical="center" wrapText="1"/>
    </xf>
    <xf numFmtId="0" fontId="0" fillId="23" borderId="0" xfId="0" applyFont="1" applyFill="1" applyAlignment="1">
      <alignment wrapText="1"/>
    </xf>
    <xf numFmtId="1" fontId="56" fillId="0" borderId="19" xfId="0" applyNumberFormat="1" applyFont="1" applyBorder="1" applyAlignment="1">
      <alignment horizontal="center" vertical="center" wrapText="1"/>
    </xf>
    <xf numFmtId="1" fontId="75" fillId="0" borderId="19" xfId="22" applyNumberFormat="1" applyFont="1" applyFill="1" applyBorder="1" applyAlignment="1">
      <alignment horizontal="center" vertical="center" wrapText="1"/>
    </xf>
    <xf numFmtId="4" fontId="76" fillId="22" borderId="3" xfId="0" applyNumberFormat="1" applyFont="1" applyFill="1" applyBorder="1" applyAlignment="1">
      <alignment horizontal="center" vertical="center" wrapText="1"/>
    </xf>
    <xf numFmtId="0" fontId="78" fillId="0" borderId="0" xfId="0" applyFont="1" applyAlignment="1">
      <alignment wrapText="1"/>
    </xf>
    <xf numFmtId="0" fontId="76" fillId="18" borderId="0" xfId="0" applyFont="1" applyFill="1" applyBorder="1" applyAlignment="1">
      <alignment horizontal="center" vertical="center" wrapText="1"/>
    </xf>
    <xf numFmtId="4" fontId="76" fillId="23" borderId="3" xfId="0" applyNumberFormat="1" applyFont="1" applyFill="1" applyBorder="1" applyAlignment="1">
      <alignment horizontal="center" vertical="center" wrapText="1"/>
    </xf>
    <xf numFmtId="14" fontId="5" fillId="22" borderId="22" xfId="22" applyNumberFormat="1" applyFont="1" applyFill="1" applyBorder="1" applyAlignment="1">
      <alignment horizontal="center" vertical="center" wrapText="1"/>
    </xf>
    <xf numFmtId="4" fontId="78" fillId="0" borderId="0" xfId="0" applyNumberFormat="1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49" fontId="41" fillId="22" borderId="0" xfId="0" applyNumberFormat="1" applyFont="1" applyFill="1" applyAlignment="1">
      <alignment wrapText="1"/>
    </xf>
    <xf numFmtId="0" fontId="5" fillId="22" borderId="5" xfId="22" applyNumberFormat="1" applyFont="1" applyFill="1" applyBorder="1" applyAlignment="1">
      <alignment horizontal="center" vertical="center" wrapText="1"/>
    </xf>
    <xf numFmtId="14" fontId="5" fillId="23" borderId="8" xfId="22" applyNumberFormat="1" applyFont="1" applyFill="1" applyBorder="1" applyAlignment="1">
      <alignment horizontal="center" vertical="center" wrapText="1"/>
    </xf>
    <xf numFmtId="49" fontId="5" fillId="23" borderId="24" xfId="22" applyNumberFormat="1" applyFont="1" applyFill="1" applyBorder="1" applyAlignment="1">
      <alignment horizontal="center" vertical="center" wrapText="1"/>
    </xf>
    <xf numFmtId="0" fontId="5" fillId="23" borderId="24" xfId="22" applyFont="1" applyFill="1" applyBorder="1" applyAlignment="1">
      <alignment horizontal="center" vertical="center" wrapText="1"/>
    </xf>
    <xf numFmtId="14" fontId="5" fillId="23" borderId="24" xfId="22" applyNumberFormat="1" applyFont="1" applyFill="1" applyBorder="1" applyAlignment="1">
      <alignment horizontal="center" vertical="center" wrapText="1"/>
    </xf>
    <xf numFmtId="49" fontId="5" fillId="23" borderId="0" xfId="22" applyNumberFormat="1" applyFont="1" applyFill="1" applyBorder="1" applyAlignment="1">
      <alignment horizontal="center" vertical="center" wrapText="1"/>
    </xf>
    <xf numFmtId="14" fontId="32" fillId="23" borderId="3" xfId="22" applyNumberFormat="1" applyFont="1" applyFill="1" applyBorder="1" applyAlignment="1">
      <alignment horizontal="center" vertical="center" wrapText="1"/>
    </xf>
    <xf numFmtId="0" fontId="7" fillId="23" borderId="19" xfId="22" applyFont="1" applyFill="1" applyBorder="1" applyAlignment="1">
      <alignment horizontal="center" vertical="center" wrapText="1"/>
    </xf>
    <xf numFmtId="49" fontId="7" fillId="23" borderId="3" xfId="22" applyNumberFormat="1" applyFont="1" applyFill="1" applyBorder="1" applyAlignment="1">
      <alignment horizontal="center" vertical="center" wrapText="1"/>
    </xf>
    <xf numFmtId="0" fontId="47" fillId="23" borderId="0" xfId="0" applyFont="1" applyFill="1" applyAlignment="1">
      <alignment wrapText="1"/>
    </xf>
    <xf numFmtId="1" fontId="86" fillId="0" borderId="19" xfId="22" applyNumberFormat="1" applyFont="1" applyFill="1" applyBorder="1" applyAlignment="1">
      <alignment horizontal="center" vertical="center" wrapText="1"/>
    </xf>
    <xf numFmtId="4" fontId="87" fillId="22" borderId="3" xfId="0" applyNumberFormat="1" applyFont="1" applyFill="1" applyBorder="1" applyAlignment="1">
      <alignment horizontal="center" vertical="center" wrapText="1"/>
    </xf>
    <xf numFmtId="4" fontId="87" fillId="0" borderId="3" xfId="0" applyNumberFormat="1" applyFont="1" applyBorder="1" applyAlignment="1">
      <alignment horizontal="center" vertical="center" wrapText="1"/>
    </xf>
    <xf numFmtId="4" fontId="87" fillId="23" borderId="3" xfId="0" applyNumberFormat="1" applyFont="1" applyFill="1" applyBorder="1" applyAlignment="1">
      <alignment horizontal="center" vertical="center" wrapText="1"/>
    </xf>
    <xf numFmtId="0" fontId="87" fillId="18" borderId="0" xfId="0" applyFont="1" applyFill="1" applyBorder="1" applyAlignment="1">
      <alignment horizontal="center" vertical="center" wrapText="1"/>
    </xf>
    <xf numFmtId="1" fontId="86" fillId="18" borderId="3" xfId="22" applyNumberFormat="1" applyFont="1" applyFill="1" applyBorder="1" applyAlignment="1">
      <alignment horizontal="center" vertical="center" wrapText="1"/>
    </xf>
    <xf numFmtId="14" fontId="0" fillId="0" borderId="3" xfId="0" applyNumberFormat="1" applyBorder="1" applyAlignment="1">
      <alignment horizontal="center" vertical="center" wrapText="1"/>
    </xf>
    <xf numFmtId="0" fontId="6" fillId="18" borderId="3" xfId="22" applyFont="1" applyFill="1" applyBorder="1" applyAlignment="1">
      <alignment horizontal="left" vertical="center" wrapText="1"/>
    </xf>
    <xf numFmtId="0" fontId="73" fillId="22" borderId="0" xfId="0" applyFont="1" applyFill="1" applyAlignment="1">
      <alignment wrapText="1"/>
    </xf>
    <xf numFmtId="0" fontId="53" fillId="0" borderId="0" xfId="0" applyFont="1" applyAlignment="1">
      <alignment horizontal="left" wrapText="1"/>
    </xf>
    <xf numFmtId="4" fontId="58" fillId="18" borderId="3" xfId="0" applyNumberFormat="1" applyFont="1" applyFill="1" applyBorder="1" applyAlignment="1">
      <alignment horizontal="center" vertical="center" wrapText="1"/>
    </xf>
    <xf numFmtId="1" fontId="29" fillId="22" borderId="3" xfId="22" applyNumberFormat="1" applyFont="1" applyFill="1" applyBorder="1" applyAlignment="1">
      <alignment horizontal="center" vertical="center" wrapText="1"/>
    </xf>
    <xf numFmtId="0" fontId="29" fillId="22" borderId="19" xfId="22" applyFont="1" applyFill="1" applyBorder="1" applyAlignment="1">
      <alignment horizontal="left" vertical="center" wrapText="1"/>
    </xf>
    <xf numFmtId="1" fontId="29" fillId="22" borderId="20" xfId="22" applyNumberFormat="1" applyFont="1" applyFill="1" applyBorder="1" applyAlignment="1">
      <alignment horizontal="center" vertical="center" wrapText="1"/>
    </xf>
    <xf numFmtId="49" fontId="29" fillId="22" borderId="20" xfId="22" applyNumberFormat="1" applyFont="1" applyFill="1" applyBorder="1" applyAlignment="1">
      <alignment horizontal="center" vertical="center" wrapText="1"/>
    </xf>
    <xf numFmtId="14" fontId="29" fillId="22" borderId="6" xfId="22" applyNumberFormat="1" applyFont="1" applyFill="1" applyBorder="1" applyAlignment="1">
      <alignment horizontal="center" vertical="center" wrapText="1"/>
    </xf>
    <xf numFmtId="49" fontId="29" fillId="22" borderId="6" xfId="22" applyNumberFormat="1" applyFont="1" applyFill="1" applyBorder="1" applyAlignment="1">
      <alignment horizontal="center" vertical="center" wrapText="1"/>
    </xf>
    <xf numFmtId="165" fontId="29" fillId="22" borderId="3" xfId="22" applyNumberFormat="1" applyFont="1" applyFill="1" applyBorder="1" applyAlignment="1">
      <alignment horizontal="center" vertical="center" wrapText="1"/>
    </xf>
    <xf numFmtId="166" fontId="29" fillId="22" borderId="8" xfId="22" applyNumberFormat="1" applyFont="1" applyFill="1" applyBorder="1" applyAlignment="1">
      <alignment horizontal="center" vertical="center" wrapText="1"/>
    </xf>
    <xf numFmtId="2" fontId="29" fillId="22" borderId="8" xfId="22" applyNumberFormat="1" applyFont="1" applyFill="1" applyBorder="1" applyAlignment="1">
      <alignment horizontal="center" vertical="center" wrapText="1"/>
    </xf>
    <xf numFmtId="2" fontId="29" fillId="22" borderId="3" xfId="22" applyNumberFormat="1" applyFont="1" applyFill="1" applyBorder="1" applyAlignment="1">
      <alignment horizontal="center" vertical="center" wrapText="1"/>
    </xf>
    <xf numFmtId="164" fontId="29" fillId="22" borderId="3" xfId="32" applyFont="1" applyFill="1" applyBorder="1" applyAlignment="1">
      <alignment vertical="center" wrapText="1"/>
    </xf>
    <xf numFmtId="168" fontId="29" fillId="22" borderId="3" xfId="22" applyNumberFormat="1" applyFont="1" applyFill="1" applyBorder="1" applyAlignment="1">
      <alignment horizontal="center" vertical="center" wrapText="1"/>
    </xf>
    <xf numFmtId="0" fontId="29" fillId="22" borderId="3" xfId="22" applyNumberFormat="1" applyFont="1" applyFill="1" applyBorder="1" applyAlignment="1">
      <alignment horizontal="center" vertical="center" wrapText="1"/>
    </xf>
    <xf numFmtId="49" fontId="29" fillId="22" borderId="3" xfId="22" applyNumberFormat="1" applyFont="1" applyFill="1" applyBorder="1" applyAlignment="1">
      <alignment horizontal="center" vertical="center" wrapText="1"/>
    </xf>
    <xf numFmtId="1" fontId="29" fillId="24" borderId="3" xfId="22" applyNumberFormat="1" applyFont="1" applyFill="1" applyBorder="1" applyAlignment="1">
      <alignment horizontal="center" vertical="center" wrapText="1"/>
    </xf>
    <xf numFmtId="1" fontId="29" fillId="23" borderId="3" xfId="22" applyNumberFormat="1" applyFont="1" applyFill="1" applyBorder="1" applyAlignment="1">
      <alignment horizontal="center" vertical="center" wrapText="1"/>
    </xf>
    <xf numFmtId="0" fontId="29" fillId="23" borderId="3" xfId="22" applyFont="1" applyFill="1" applyBorder="1" applyAlignment="1">
      <alignment horizontal="left" vertical="center" wrapText="1"/>
    </xf>
    <xf numFmtId="4" fontId="61" fillId="22" borderId="3" xfId="0" applyNumberFormat="1" applyFont="1" applyFill="1" applyBorder="1" applyAlignment="1">
      <alignment horizontal="center" vertical="center" wrapText="1"/>
    </xf>
    <xf numFmtId="1" fontId="5" fillId="24" borderId="3" xfId="22" applyNumberFormat="1" applyFont="1" applyFill="1" applyBorder="1" applyAlignment="1">
      <alignment horizontal="center" vertical="center" wrapText="1"/>
    </xf>
    <xf numFmtId="2" fontId="56" fillId="23" borderId="0" xfId="0" applyNumberFormat="1" applyFont="1" applyFill="1" applyBorder="1" applyAlignment="1">
      <alignment horizontal="center" vertical="center" wrapText="1"/>
    </xf>
    <xf numFmtId="0" fontId="5" fillId="0" borderId="5" xfId="22" applyFont="1" applyFill="1" applyBorder="1" applyAlignment="1">
      <alignment vertical="center" wrapText="1"/>
    </xf>
    <xf numFmtId="164" fontId="5" fillId="0" borderId="5" xfId="32" applyFont="1" applyFill="1" applyBorder="1" applyAlignment="1">
      <alignment vertical="center" wrapText="1"/>
    </xf>
    <xf numFmtId="2" fontId="58" fillId="18" borderId="5" xfId="0" applyNumberFormat="1" applyFont="1" applyFill="1" applyBorder="1" applyAlignment="1">
      <alignment horizontal="center" vertical="center" wrapText="1"/>
    </xf>
    <xf numFmtId="2" fontId="56" fillId="0" borderId="5" xfId="0" applyNumberFormat="1" applyFont="1" applyBorder="1" applyAlignment="1">
      <alignment horizontal="center" vertical="center" wrapText="1"/>
    </xf>
    <xf numFmtId="4" fontId="56" fillId="0" borderId="5" xfId="0" applyNumberFormat="1" applyFont="1" applyBorder="1" applyAlignment="1">
      <alignment horizontal="center" vertical="center" wrapText="1"/>
    </xf>
    <xf numFmtId="4" fontId="60" fillId="0" borderId="5" xfId="0" applyNumberFormat="1" applyFont="1" applyBorder="1" applyAlignment="1">
      <alignment horizontal="center" vertical="center" wrapText="1"/>
    </xf>
    <xf numFmtId="4" fontId="79" fillId="0" borderId="5" xfId="0" applyNumberFormat="1" applyFont="1" applyBorder="1" applyAlignment="1">
      <alignment horizontal="center" vertical="center" wrapText="1"/>
    </xf>
    <xf numFmtId="14" fontId="31" fillId="0" borderId="5" xfId="22" applyNumberFormat="1" applyFont="1" applyFill="1" applyBorder="1" applyAlignment="1">
      <alignment horizontal="center" vertical="center" wrapText="1"/>
    </xf>
    <xf numFmtId="1" fontId="5" fillId="22" borderId="23" xfId="22" applyNumberFormat="1" applyFont="1" applyFill="1" applyBorder="1" applyAlignment="1">
      <alignment horizontal="center" vertical="center" wrapText="1"/>
    </xf>
    <xf numFmtId="2" fontId="5" fillId="23" borderId="3" xfId="22" applyNumberFormat="1" applyFont="1" applyFill="1" applyBorder="1" applyAlignment="1">
      <alignment horizontal="center" vertical="center"/>
    </xf>
    <xf numFmtId="173" fontId="5" fillId="0" borderId="19" xfId="32" applyNumberFormat="1" applyFont="1" applyFill="1" applyBorder="1" applyAlignment="1">
      <alignment horizontal="left" vertical="center" wrapText="1"/>
    </xf>
    <xf numFmtId="0" fontId="72" fillId="18" borderId="0" xfId="0" applyFont="1" applyFill="1" applyBorder="1" applyAlignment="1">
      <alignment horizontal="center" vertical="center" wrapText="1"/>
    </xf>
    <xf numFmtId="0" fontId="29" fillId="22" borderId="19" xfId="2" applyFont="1" applyFill="1" applyBorder="1" applyAlignment="1">
      <alignment horizontal="center" vertical="center" wrapText="1"/>
    </xf>
    <xf numFmtId="0" fontId="29" fillId="22" borderId="3" xfId="22" applyFont="1" applyFill="1" applyBorder="1" applyAlignment="1">
      <alignment horizontal="center" vertical="center" wrapText="1"/>
    </xf>
    <xf numFmtId="14" fontId="29" fillId="22" borderId="3" xfId="22" applyNumberFormat="1" applyFont="1" applyFill="1" applyBorder="1" applyAlignment="1">
      <alignment horizontal="center" vertical="center" wrapText="1"/>
    </xf>
    <xf numFmtId="166" fontId="29" fillId="22" borderId="3" xfId="22" applyNumberFormat="1" applyFont="1" applyFill="1" applyBorder="1" applyAlignment="1">
      <alignment horizontal="center" vertical="center" wrapText="1"/>
    </xf>
    <xf numFmtId="2" fontId="52" fillId="22" borderId="3" xfId="0" applyNumberFormat="1" applyFont="1" applyFill="1" applyBorder="1" applyAlignment="1">
      <alignment horizontal="center" vertical="center" wrapText="1"/>
    </xf>
    <xf numFmtId="0" fontId="29" fillId="22" borderId="19" xfId="22" applyNumberFormat="1" applyFont="1" applyFill="1" applyBorder="1" applyAlignment="1">
      <alignment horizontal="center" vertical="center" wrapText="1"/>
    </xf>
    <xf numFmtId="0" fontId="29" fillId="22" borderId="3" xfId="2" applyFont="1" applyFill="1" applyBorder="1" applyAlignment="1">
      <alignment horizontal="center" vertical="center" wrapText="1"/>
    </xf>
    <xf numFmtId="0" fontId="29" fillId="22" borderId="6" xfId="22" applyFont="1" applyFill="1" applyBorder="1" applyAlignment="1">
      <alignment horizontal="center" vertical="center" wrapText="1"/>
    </xf>
    <xf numFmtId="49" fontId="29" fillId="22" borderId="3" xfId="2" applyNumberFormat="1" applyFont="1" applyFill="1" applyBorder="1" applyAlignment="1">
      <alignment horizontal="center" vertical="center" wrapText="1"/>
    </xf>
    <xf numFmtId="49" fontId="90" fillId="22" borderId="0" xfId="0" applyNumberFormat="1" applyFont="1" applyFill="1" applyAlignment="1">
      <alignment wrapText="1"/>
    </xf>
    <xf numFmtId="0" fontId="0" fillId="22" borderId="0" xfId="0" applyFont="1" applyFill="1" applyAlignment="1">
      <alignment horizontal="center" vertical="center" wrapText="1"/>
    </xf>
    <xf numFmtId="164" fontId="5" fillId="0" borderId="3" xfId="32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49" fontId="6" fillId="23" borderId="3" xfId="22" applyNumberFormat="1" applyFont="1" applyFill="1" applyBorder="1" applyAlignment="1">
      <alignment horizontal="center" vertical="center" wrapText="1"/>
    </xf>
    <xf numFmtId="1" fontId="91" fillId="0" borderId="21" xfId="22" applyNumberFormat="1" applyFont="1" applyFill="1" applyBorder="1" applyAlignment="1">
      <alignment horizontal="center" vertical="center" wrapText="1"/>
    </xf>
    <xf numFmtId="4" fontId="56" fillId="0" borderId="4" xfId="0" applyNumberFormat="1" applyFont="1" applyBorder="1" applyAlignment="1">
      <alignment horizontal="center" vertical="center" wrapText="1"/>
    </xf>
    <xf numFmtId="4" fontId="72" fillId="23" borderId="4" xfId="0" applyNumberFormat="1" applyFont="1" applyFill="1" applyBorder="1" applyAlignment="1">
      <alignment horizontal="center" vertical="center" wrapText="1"/>
    </xf>
    <xf numFmtId="4" fontId="58" fillId="23" borderId="6" xfId="0" applyNumberFormat="1" applyFont="1" applyFill="1" applyBorder="1" applyAlignment="1">
      <alignment horizontal="center" vertical="center" wrapText="1"/>
    </xf>
    <xf numFmtId="4" fontId="82" fillId="22" borderId="3" xfId="0" applyNumberFormat="1" applyFont="1" applyFill="1" applyBorder="1" applyAlignment="1">
      <alignment horizontal="center" vertical="center" wrapText="1"/>
    </xf>
    <xf numFmtId="2" fontId="92" fillId="0" borderId="3" xfId="0" applyNumberFormat="1" applyFont="1" applyBorder="1" applyAlignment="1">
      <alignment horizontal="center" vertical="center" wrapText="1"/>
    </xf>
    <xf numFmtId="1" fontId="93" fillId="18" borderId="3" xfId="22" applyNumberFormat="1" applyFont="1" applyFill="1" applyBorder="1" applyAlignment="1">
      <alignment horizontal="center" vertical="center" wrapText="1"/>
    </xf>
    <xf numFmtId="0" fontId="29" fillId="0" borderId="19" xfId="22" applyFont="1" applyFill="1" applyBorder="1" applyAlignment="1">
      <alignment horizontal="left" vertical="center" wrapText="1"/>
    </xf>
    <xf numFmtId="0" fontId="29" fillId="23" borderId="19" xfId="22" applyFont="1" applyFill="1" applyBorder="1" applyAlignment="1">
      <alignment horizontal="left" vertical="center" wrapText="1"/>
    </xf>
    <xf numFmtId="0" fontId="93" fillId="0" borderId="19" xfId="22" applyFont="1" applyFill="1" applyBorder="1" applyAlignment="1">
      <alignment horizontal="left" vertical="center" wrapText="1"/>
    </xf>
    <xf numFmtId="1" fontId="5" fillId="20" borderId="3" xfId="22" applyNumberFormat="1" applyFont="1" applyFill="1" applyBorder="1" applyAlignment="1">
      <alignment horizontal="center" vertical="center" wrapText="1"/>
    </xf>
    <xf numFmtId="1" fontId="29" fillId="20" borderId="3" xfId="22" applyNumberFormat="1" applyFont="1" applyFill="1" applyBorder="1" applyAlignment="1">
      <alignment horizontal="center" vertical="center" wrapText="1"/>
    </xf>
    <xf numFmtId="0" fontId="5" fillId="20" borderId="19" xfId="22" applyFont="1" applyFill="1" applyBorder="1" applyAlignment="1">
      <alignment horizontal="left" vertical="center" wrapText="1"/>
    </xf>
    <xf numFmtId="0" fontId="5" fillId="20" borderId="19" xfId="22" applyFont="1" applyFill="1" applyBorder="1" applyAlignment="1">
      <alignment horizontal="center" vertical="center" wrapText="1"/>
    </xf>
    <xf numFmtId="1" fontId="5" fillId="20" borderId="20" xfId="22" applyNumberFormat="1" applyFont="1" applyFill="1" applyBorder="1" applyAlignment="1">
      <alignment horizontal="center" vertical="center" wrapText="1"/>
    </xf>
    <xf numFmtId="49" fontId="5" fillId="20" borderId="19" xfId="22" applyNumberFormat="1" applyFont="1" applyFill="1" applyBorder="1" applyAlignment="1">
      <alignment horizontal="center" vertical="center" wrapText="1"/>
    </xf>
    <xf numFmtId="0" fontId="5" fillId="20" borderId="6" xfId="22" applyFont="1" applyFill="1" applyBorder="1" applyAlignment="1">
      <alignment horizontal="center" vertical="center" wrapText="1"/>
    </xf>
    <xf numFmtId="49" fontId="5" fillId="20" borderId="6" xfId="22" applyNumberFormat="1" applyFont="1" applyFill="1" applyBorder="1" applyAlignment="1">
      <alignment horizontal="center" vertical="center" wrapText="1"/>
    </xf>
    <xf numFmtId="14" fontId="5" fillId="20" borderId="6" xfId="22" applyNumberFormat="1" applyFont="1" applyFill="1" applyBorder="1" applyAlignment="1">
      <alignment horizontal="center" vertical="center" wrapText="1"/>
    </xf>
    <xf numFmtId="0" fontId="5" fillId="20" borderId="3" xfId="22" applyFont="1" applyFill="1" applyBorder="1" applyAlignment="1">
      <alignment horizontal="center" vertical="center" wrapText="1"/>
    </xf>
    <xf numFmtId="166" fontId="5" fillId="20" borderId="3" xfId="22" applyNumberFormat="1" applyFont="1" applyFill="1" applyBorder="1" applyAlignment="1">
      <alignment horizontal="center" vertical="center" wrapText="1"/>
    </xf>
    <xf numFmtId="2" fontId="5" fillId="20" borderId="3" xfId="22" applyNumberFormat="1" applyFont="1" applyFill="1" applyBorder="1" applyAlignment="1">
      <alignment horizontal="center" vertical="center" wrapText="1"/>
    </xf>
    <xf numFmtId="164" fontId="5" fillId="20" borderId="3" xfId="32" applyFont="1" applyFill="1" applyBorder="1" applyAlignment="1">
      <alignment vertical="center" wrapText="1"/>
    </xf>
    <xf numFmtId="2" fontId="58" fillId="20" borderId="3" xfId="0" applyNumberFormat="1" applyFont="1" applyFill="1" applyBorder="1" applyAlignment="1">
      <alignment horizontal="center" vertical="center" wrapText="1"/>
    </xf>
    <xf numFmtId="2" fontId="56" fillId="20" borderId="3" xfId="0" applyNumberFormat="1" applyFont="1" applyFill="1" applyBorder="1" applyAlignment="1">
      <alignment horizontal="center" vertical="center" wrapText="1"/>
    </xf>
    <xf numFmtId="4" fontId="60" fillId="20" borderId="3" xfId="0" applyNumberFormat="1" applyFont="1" applyFill="1" applyBorder="1" applyAlignment="1">
      <alignment horizontal="center" vertical="center" wrapText="1"/>
    </xf>
    <xf numFmtId="14" fontId="31" fillId="20" borderId="3" xfId="22" applyNumberFormat="1" applyFont="1" applyFill="1" applyBorder="1" applyAlignment="1">
      <alignment horizontal="center" vertical="center" wrapText="1"/>
    </xf>
    <xf numFmtId="0" fontId="5" fillId="20" borderId="3" xfId="22" applyNumberFormat="1" applyFont="1" applyFill="1" applyBorder="1" applyAlignment="1">
      <alignment horizontal="center" vertical="center" wrapText="1"/>
    </xf>
    <xf numFmtId="49" fontId="5" fillId="20" borderId="3" xfId="22" applyNumberFormat="1" applyFont="1" applyFill="1" applyBorder="1" applyAlignment="1">
      <alignment horizontal="center" vertical="center" wrapText="1"/>
    </xf>
    <xf numFmtId="0" fontId="0" fillId="20" borderId="0" xfId="0" applyFill="1" applyAlignment="1">
      <alignment wrapText="1"/>
    </xf>
    <xf numFmtId="0" fontId="5" fillId="20" borderId="3" xfId="22" applyFont="1" applyFill="1" applyBorder="1" applyAlignment="1">
      <alignment horizontal="left" vertical="center" wrapText="1"/>
    </xf>
    <xf numFmtId="0" fontId="5" fillId="20" borderId="8" xfId="22" applyFont="1" applyFill="1" applyBorder="1" applyAlignment="1">
      <alignment horizontal="center" vertical="center" wrapText="1"/>
    </xf>
    <xf numFmtId="49" fontId="5" fillId="20" borderId="8" xfId="22" applyNumberFormat="1" applyFont="1" applyFill="1" applyBorder="1" applyAlignment="1">
      <alignment horizontal="center" vertical="center" wrapText="1"/>
    </xf>
    <xf numFmtId="14" fontId="5" fillId="20" borderId="8" xfId="22" applyNumberFormat="1" applyFont="1" applyFill="1" applyBorder="1" applyAlignment="1">
      <alignment horizontal="center" vertical="center" wrapText="1"/>
    </xf>
    <xf numFmtId="4" fontId="58" fillId="20" borderId="3" xfId="0" applyNumberFormat="1" applyFont="1" applyFill="1" applyBorder="1" applyAlignment="1">
      <alignment horizontal="center" vertical="center" wrapText="1"/>
    </xf>
    <xf numFmtId="4" fontId="79" fillId="20" borderId="3" xfId="0" applyNumberFormat="1" applyFont="1" applyFill="1" applyBorder="1" applyAlignment="1">
      <alignment horizontal="center" vertical="center" wrapText="1"/>
    </xf>
    <xf numFmtId="4" fontId="76" fillId="20" borderId="3" xfId="0" applyNumberFormat="1" applyFont="1" applyFill="1" applyBorder="1" applyAlignment="1">
      <alignment horizontal="center" vertical="center" wrapText="1"/>
    </xf>
    <xf numFmtId="4" fontId="87" fillId="20" borderId="3" xfId="0" applyNumberFormat="1" applyFont="1" applyFill="1" applyBorder="1" applyAlignment="1">
      <alignment horizontal="center" vertical="center" wrapText="1"/>
    </xf>
    <xf numFmtId="4" fontId="72" fillId="20" borderId="4" xfId="0" applyNumberFormat="1" applyFont="1" applyFill="1" applyBorder="1" applyAlignment="1">
      <alignment horizontal="center" vertical="center" wrapText="1"/>
    </xf>
    <xf numFmtId="4" fontId="61" fillId="20" borderId="3" xfId="0" applyNumberFormat="1" applyFont="1" applyFill="1" applyBorder="1" applyAlignment="1">
      <alignment horizontal="center" vertical="center" wrapText="1"/>
    </xf>
    <xf numFmtId="4" fontId="58" fillId="20" borderId="6" xfId="0" applyNumberFormat="1" applyFont="1" applyFill="1" applyBorder="1" applyAlignment="1">
      <alignment horizontal="center" vertical="center" wrapText="1"/>
    </xf>
    <xf numFmtId="49" fontId="5" fillId="20" borderId="20" xfId="22" applyNumberFormat="1" applyFont="1" applyFill="1" applyBorder="1" applyAlignment="1">
      <alignment horizontal="center" vertical="center" wrapText="1"/>
    </xf>
    <xf numFmtId="49" fontId="5" fillId="20" borderId="5" xfId="22" applyNumberFormat="1" applyFont="1" applyFill="1" applyBorder="1" applyAlignment="1">
      <alignment horizontal="center" vertical="center" wrapText="1"/>
    </xf>
    <xf numFmtId="14" fontId="5" fillId="20" borderId="0" xfId="0" applyNumberFormat="1" applyFont="1" applyFill="1" applyAlignment="1">
      <alignment horizontal="center" vertical="center" wrapText="1"/>
    </xf>
    <xf numFmtId="14" fontId="5" fillId="20" borderId="5" xfId="22" applyNumberFormat="1" applyFont="1" applyFill="1" applyBorder="1" applyAlignment="1">
      <alignment horizontal="center" vertical="center" wrapText="1"/>
    </xf>
    <xf numFmtId="0" fontId="5" fillId="20" borderId="5" xfId="22" applyFont="1" applyFill="1" applyBorder="1" applyAlignment="1">
      <alignment horizontal="center" vertical="center" wrapText="1"/>
    </xf>
    <xf numFmtId="166" fontId="5" fillId="20" borderId="5" xfId="22" applyNumberFormat="1" applyFont="1" applyFill="1" applyBorder="1" applyAlignment="1">
      <alignment horizontal="center" vertical="center" wrapText="1"/>
    </xf>
    <xf numFmtId="2" fontId="5" fillId="20" borderId="8" xfId="22" applyNumberFormat="1" applyFont="1" applyFill="1" applyBorder="1" applyAlignment="1">
      <alignment horizontal="center" vertical="center" wrapText="1"/>
    </xf>
    <xf numFmtId="2" fontId="61" fillId="20" borderId="3" xfId="0" applyNumberFormat="1" applyFont="1" applyFill="1" applyBorder="1" applyAlignment="1">
      <alignment horizontal="center" vertical="center" wrapText="1"/>
    </xf>
    <xf numFmtId="0" fontId="0" fillId="20" borderId="0" xfId="0" applyFont="1" applyFill="1" applyAlignment="1">
      <alignment wrapText="1"/>
    </xf>
    <xf numFmtId="14" fontId="5" fillId="20" borderId="3" xfId="22" applyNumberFormat="1" applyFont="1" applyFill="1" applyBorder="1" applyAlignment="1">
      <alignment horizontal="center" vertical="center" wrapText="1"/>
    </xf>
    <xf numFmtId="2" fontId="60" fillId="20" borderId="3" xfId="0" applyNumberFormat="1" applyFont="1" applyFill="1" applyBorder="1" applyAlignment="1">
      <alignment horizontal="center" vertical="center" wrapText="1"/>
    </xf>
    <xf numFmtId="4" fontId="56" fillId="20" borderId="3" xfId="0" applyNumberFormat="1" applyFont="1" applyFill="1" applyBorder="1" applyAlignment="1">
      <alignment horizontal="center" vertical="center" wrapText="1"/>
    </xf>
    <xf numFmtId="4" fontId="52" fillId="20" borderId="3" xfId="0" applyNumberFormat="1" applyFont="1" applyFill="1" applyBorder="1" applyAlignment="1">
      <alignment horizontal="center" vertical="center" wrapText="1"/>
    </xf>
    <xf numFmtId="4" fontId="56" fillId="20" borderId="6" xfId="0" applyNumberFormat="1" applyFont="1" applyFill="1" applyBorder="1" applyAlignment="1">
      <alignment horizontal="center" vertical="center" wrapText="1"/>
    </xf>
    <xf numFmtId="0" fontId="93" fillId="20" borderId="19" xfId="22" applyFont="1" applyFill="1" applyBorder="1" applyAlignment="1">
      <alignment horizontal="left" vertical="center" wrapText="1"/>
    </xf>
    <xf numFmtId="0" fontId="93" fillId="20" borderId="19" xfId="22" applyFont="1" applyFill="1" applyBorder="1" applyAlignment="1">
      <alignment horizontal="center" vertical="center" wrapText="1"/>
    </xf>
    <xf numFmtId="1" fontId="93" fillId="20" borderId="3" xfId="22" applyNumberFormat="1" applyFont="1" applyFill="1" applyBorder="1" applyAlignment="1">
      <alignment horizontal="center" vertical="center" wrapText="1"/>
    </xf>
    <xf numFmtId="1" fontId="93" fillId="20" borderId="20" xfId="22" applyNumberFormat="1" applyFont="1" applyFill="1" applyBorder="1" applyAlignment="1">
      <alignment horizontal="center" vertical="center" wrapText="1"/>
    </xf>
    <xf numFmtId="0" fontId="93" fillId="20" borderId="3" xfId="22" applyFont="1" applyFill="1" applyBorder="1" applyAlignment="1">
      <alignment horizontal="center" vertical="center" wrapText="1"/>
    </xf>
    <xf numFmtId="0" fontId="93" fillId="20" borderId="6" xfId="22" applyFont="1" applyFill="1" applyBorder="1" applyAlignment="1">
      <alignment horizontal="center" vertical="center" wrapText="1"/>
    </xf>
    <xf numFmtId="49" fontId="93" fillId="20" borderId="3" xfId="22" applyNumberFormat="1" applyFont="1" applyFill="1" applyBorder="1" applyAlignment="1">
      <alignment horizontal="center" vertical="center" wrapText="1"/>
    </xf>
    <xf numFmtId="14" fontId="93" fillId="20" borderId="6" xfId="22" applyNumberFormat="1" applyFont="1" applyFill="1" applyBorder="1" applyAlignment="1">
      <alignment horizontal="center" vertical="center" wrapText="1"/>
    </xf>
    <xf numFmtId="2" fontId="7" fillId="20" borderId="3" xfId="22" applyNumberFormat="1" applyFont="1" applyFill="1" applyBorder="1" applyAlignment="1">
      <alignment horizontal="center" vertical="center" wrapText="1"/>
    </xf>
    <xf numFmtId="164" fontId="93" fillId="20" borderId="3" xfId="32" applyFont="1" applyFill="1" applyBorder="1" applyAlignment="1">
      <alignment vertical="center" wrapText="1"/>
    </xf>
    <xf numFmtId="2" fontId="92" fillId="20" borderId="3" xfId="0" applyNumberFormat="1" applyFont="1" applyFill="1" applyBorder="1" applyAlignment="1">
      <alignment horizontal="center" vertical="center" wrapText="1"/>
    </xf>
    <xf numFmtId="0" fontId="93" fillId="0" borderId="3" xfId="22" applyFont="1" applyFill="1" applyBorder="1" applyAlignment="1">
      <alignment horizontal="left" vertical="center" wrapText="1"/>
    </xf>
    <xf numFmtId="0" fontId="93" fillId="0" borderId="19" xfId="22" applyFont="1" applyFill="1" applyBorder="1" applyAlignment="1">
      <alignment horizontal="center" vertical="center" wrapText="1"/>
    </xf>
    <xf numFmtId="1" fontId="93" fillId="0" borderId="3" xfId="22" applyNumberFormat="1" applyFont="1" applyFill="1" applyBorder="1" applyAlignment="1">
      <alignment horizontal="center" vertical="center" wrapText="1"/>
    </xf>
    <xf numFmtId="1" fontId="93" fillId="0" borderId="20" xfId="22" applyNumberFormat="1" applyFont="1" applyFill="1" applyBorder="1" applyAlignment="1">
      <alignment horizontal="center" vertical="center" wrapText="1"/>
    </xf>
    <xf numFmtId="49" fontId="93" fillId="0" borderId="20" xfId="22" applyNumberFormat="1" applyFont="1" applyFill="1" applyBorder="1" applyAlignment="1">
      <alignment horizontal="center" vertical="center" wrapText="1"/>
    </xf>
    <xf numFmtId="14" fontId="93" fillId="0" borderId="3" xfId="22" applyNumberFormat="1" applyFont="1" applyFill="1" applyBorder="1" applyAlignment="1">
      <alignment horizontal="center" vertical="center" wrapText="1"/>
    </xf>
    <xf numFmtId="14" fontId="7" fillId="18" borderId="3" xfId="22" applyNumberFormat="1" applyFont="1" applyFill="1" applyBorder="1" applyAlignment="1">
      <alignment horizontal="center" vertical="center" wrapText="1"/>
    </xf>
    <xf numFmtId="166" fontId="7" fillId="0" borderId="3" xfId="22" applyNumberFormat="1" applyFont="1" applyFill="1" applyBorder="1" applyAlignment="1">
      <alignment horizontal="center" vertical="center" wrapText="1"/>
    </xf>
    <xf numFmtId="2" fontId="63" fillId="18" borderId="3" xfId="0" applyNumberFormat="1" applyFont="1" applyFill="1" applyBorder="1" applyAlignment="1">
      <alignment horizontal="center" vertical="center" wrapText="1"/>
    </xf>
    <xf numFmtId="4" fontId="63" fillId="0" borderId="3" xfId="0" applyNumberFormat="1" applyFont="1" applyBorder="1" applyAlignment="1">
      <alignment horizontal="center" vertical="center" wrapText="1"/>
    </xf>
    <xf numFmtId="4" fontId="77" fillId="0" borderId="3" xfId="0" applyNumberFormat="1" applyFont="1" applyBorder="1" applyAlignment="1">
      <alignment horizontal="center" vertical="center" wrapText="1"/>
    </xf>
    <xf numFmtId="4" fontId="89" fillId="0" borderId="3" xfId="0" applyNumberFormat="1" applyFont="1" applyBorder="1" applyAlignment="1">
      <alignment horizontal="center" vertical="center" wrapText="1"/>
    </xf>
    <xf numFmtId="14" fontId="96" fillId="0" borderId="3" xfId="22" applyNumberFormat="1" applyFont="1" applyBorder="1" applyAlignment="1">
      <alignment horizontal="center" vertical="center" wrapText="1"/>
    </xf>
    <xf numFmtId="14" fontId="7" fillId="0" borderId="19" xfId="22" applyNumberFormat="1" applyFont="1" applyFill="1" applyBorder="1" applyAlignment="1">
      <alignment horizontal="center" vertical="center" wrapText="1"/>
    </xf>
    <xf numFmtId="0" fontId="48" fillId="0" borderId="0" xfId="0" applyFont="1" applyAlignment="1">
      <alignment wrapText="1"/>
    </xf>
    <xf numFmtId="0" fontId="97" fillId="0" borderId="19" xfId="22" applyFont="1" applyFill="1" applyBorder="1" applyAlignment="1">
      <alignment horizontal="left" vertical="center" wrapText="1"/>
    </xf>
    <xf numFmtId="0" fontId="97" fillId="0" borderId="19" xfId="22" applyFont="1" applyFill="1" applyBorder="1" applyAlignment="1">
      <alignment horizontal="center" vertical="center" wrapText="1"/>
    </xf>
    <xf numFmtId="1" fontId="97" fillId="18" borderId="3" xfId="22" applyNumberFormat="1" applyFont="1" applyFill="1" applyBorder="1" applyAlignment="1">
      <alignment horizontal="center" vertical="center" wrapText="1"/>
    </xf>
    <xf numFmtId="1" fontId="97" fillId="0" borderId="20" xfId="22" applyNumberFormat="1" applyFont="1" applyFill="1" applyBorder="1" applyAlignment="1">
      <alignment horizontal="center" vertical="center" wrapText="1"/>
    </xf>
    <xf numFmtId="49" fontId="7" fillId="0" borderId="20" xfId="22" applyNumberFormat="1" applyFont="1" applyFill="1" applyBorder="1" applyAlignment="1">
      <alignment horizontal="center" vertical="center" wrapText="1"/>
    </xf>
    <xf numFmtId="0" fontId="7" fillId="0" borderId="20" xfId="22" applyFont="1" applyFill="1" applyBorder="1" applyAlignment="1">
      <alignment horizontal="center" vertical="center" wrapText="1"/>
    </xf>
    <xf numFmtId="14" fontId="7" fillId="0" borderId="20" xfId="22" applyNumberFormat="1" applyFont="1" applyFill="1" applyBorder="1" applyAlignment="1">
      <alignment horizontal="center" vertical="center" wrapText="1"/>
    </xf>
    <xf numFmtId="0" fontId="97" fillId="0" borderId="20" xfId="22" applyFont="1" applyFill="1" applyBorder="1" applyAlignment="1">
      <alignment horizontal="center" vertical="center" wrapText="1"/>
    </xf>
    <xf numFmtId="0" fontId="97" fillId="0" borderId="3" xfId="22" applyFont="1" applyFill="1" applyBorder="1" applyAlignment="1">
      <alignment horizontal="center" vertical="center" wrapText="1"/>
    </xf>
    <xf numFmtId="166" fontId="97" fillId="0" borderId="3" xfId="22" applyNumberFormat="1" applyFont="1" applyFill="1" applyBorder="1" applyAlignment="1">
      <alignment horizontal="center" vertical="center" wrapText="1"/>
    </xf>
    <xf numFmtId="164" fontId="97" fillId="0" borderId="3" xfId="32" applyFont="1" applyFill="1" applyBorder="1" applyAlignment="1">
      <alignment vertical="center" wrapText="1"/>
    </xf>
    <xf numFmtId="2" fontId="63" fillId="0" borderId="3" xfId="0" applyNumberFormat="1" applyFont="1" applyBorder="1" applyAlignment="1">
      <alignment horizontal="center" vertical="center" wrapText="1"/>
    </xf>
    <xf numFmtId="49" fontId="93" fillId="20" borderId="20" xfId="22" applyNumberFormat="1" applyFont="1" applyFill="1" applyBorder="1" applyAlignment="1">
      <alignment horizontal="center" vertical="center" wrapText="1"/>
    </xf>
    <xf numFmtId="49" fontId="93" fillId="20" borderId="6" xfId="22" applyNumberFormat="1" applyFont="1" applyFill="1" applyBorder="1" applyAlignment="1">
      <alignment horizontal="center" vertical="center" wrapText="1"/>
    </xf>
    <xf numFmtId="166" fontId="93" fillId="20" borderId="4" xfId="22" applyNumberFormat="1" applyFont="1" applyFill="1" applyBorder="1" applyAlignment="1">
      <alignment horizontal="center" vertical="center" wrapText="1"/>
    </xf>
    <xf numFmtId="2" fontId="93" fillId="20" borderId="4" xfId="22" applyNumberFormat="1" applyFont="1" applyFill="1" applyBorder="1" applyAlignment="1">
      <alignment horizontal="center" vertical="center" wrapText="1"/>
    </xf>
    <xf numFmtId="2" fontId="93" fillId="20" borderId="3" xfId="22" applyNumberFormat="1" applyFont="1" applyFill="1" applyBorder="1" applyAlignment="1">
      <alignment horizontal="center" vertical="center" wrapText="1"/>
    </xf>
    <xf numFmtId="4" fontId="92" fillId="20" borderId="3" xfId="0" applyNumberFormat="1" applyFont="1" applyFill="1" applyBorder="1" applyAlignment="1">
      <alignment horizontal="center" vertical="center" wrapText="1"/>
    </xf>
    <xf numFmtId="14" fontId="69" fillId="20" borderId="3" xfId="22" applyNumberFormat="1" applyFont="1" applyFill="1" applyBorder="1" applyAlignment="1">
      <alignment horizontal="center" vertical="center" wrapText="1"/>
    </xf>
    <xf numFmtId="0" fontId="93" fillId="20" borderId="20" xfId="22" applyNumberFormat="1" applyFont="1" applyFill="1" applyBorder="1" applyAlignment="1">
      <alignment horizontal="center" vertical="center" wrapText="1"/>
    </xf>
    <xf numFmtId="1" fontId="5" fillId="20" borderId="5" xfId="22" applyNumberFormat="1" applyFont="1" applyFill="1" applyBorder="1" applyAlignment="1">
      <alignment horizontal="center" vertical="center" wrapText="1"/>
    </xf>
    <xf numFmtId="166" fontId="5" fillId="20" borderId="4" xfId="22" applyNumberFormat="1" applyFont="1" applyFill="1" applyBorder="1" applyAlignment="1">
      <alignment horizontal="center" vertical="center" wrapText="1"/>
    </xf>
    <xf numFmtId="2" fontId="5" fillId="20" borderId="4" xfId="22" applyNumberFormat="1" applyFont="1" applyFill="1" applyBorder="1" applyAlignment="1">
      <alignment horizontal="center" vertical="center" wrapText="1"/>
    </xf>
    <xf numFmtId="14" fontId="5" fillId="20" borderId="20" xfId="22" applyNumberFormat="1" applyFont="1" applyFill="1" applyBorder="1" applyAlignment="1">
      <alignment horizontal="center" vertical="center" wrapText="1"/>
    </xf>
    <xf numFmtId="0" fontId="5" fillId="20" borderId="3" xfId="2" applyFont="1" applyFill="1" applyBorder="1" applyAlignment="1">
      <alignment horizontal="center" vertical="center" wrapText="1"/>
    </xf>
    <xf numFmtId="2" fontId="5" fillId="20" borderId="5" xfId="22" applyNumberFormat="1" applyFont="1" applyFill="1" applyBorder="1" applyAlignment="1">
      <alignment horizontal="center" vertical="center" wrapText="1"/>
    </xf>
    <xf numFmtId="0" fontId="5" fillId="20" borderId="19" xfId="22" applyNumberFormat="1" applyFont="1" applyFill="1" applyBorder="1" applyAlignment="1">
      <alignment horizontal="center" vertical="center" wrapText="1"/>
    </xf>
    <xf numFmtId="49" fontId="5" fillId="20" borderId="3" xfId="21" applyNumberFormat="1" applyFont="1" applyFill="1" applyBorder="1" applyAlignment="1">
      <alignment horizontal="center" vertical="center" wrapText="1"/>
    </xf>
    <xf numFmtId="2" fontId="56" fillId="18" borderId="0" xfId="0" applyNumberFormat="1" applyFont="1" applyFill="1" applyBorder="1" applyAlignment="1">
      <alignment horizontal="center" vertical="center" wrapText="1"/>
    </xf>
    <xf numFmtId="0" fontId="5" fillId="18" borderId="0" xfId="22" applyFont="1" applyFill="1" applyBorder="1" applyAlignment="1">
      <alignment horizontal="center" vertical="center" wrapText="1"/>
    </xf>
    <xf numFmtId="49" fontId="5" fillId="18" borderId="0" xfId="22" applyNumberFormat="1" applyFont="1" applyFill="1" applyBorder="1" applyAlignment="1">
      <alignment horizontal="center" vertical="center" wrapText="1"/>
    </xf>
    <xf numFmtId="14" fontId="5" fillId="18" borderId="0" xfId="22" applyNumberFormat="1" applyFont="1" applyFill="1" applyBorder="1" applyAlignment="1">
      <alignment horizontal="center" vertical="center" wrapText="1"/>
    </xf>
    <xf numFmtId="166" fontId="5" fillId="18" borderId="0" xfId="22" applyNumberFormat="1" applyFont="1" applyFill="1" applyBorder="1" applyAlignment="1">
      <alignment horizontal="center" vertical="center" wrapText="1"/>
    </xf>
    <xf numFmtId="2" fontId="5" fillId="18" borderId="0" xfId="22" applyNumberFormat="1" applyFont="1" applyFill="1" applyBorder="1" applyAlignment="1">
      <alignment horizontal="center" vertical="center" wrapText="1"/>
    </xf>
    <xf numFmtId="164" fontId="5" fillId="18" borderId="0" xfId="32" applyFont="1" applyFill="1" applyBorder="1" applyAlignment="1">
      <alignment vertical="center" wrapText="1"/>
    </xf>
    <xf numFmtId="0" fontId="56" fillId="18" borderId="0" xfId="0" applyFont="1" applyFill="1" applyBorder="1" applyAlignment="1">
      <alignment horizontal="center" vertical="center" wrapText="1"/>
    </xf>
    <xf numFmtId="0" fontId="60" fillId="18" borderId="0" xfId="0" applyFont="1" applyFill="1" applyBorder="1" applyAlignment="1">
      <alignment horizontal="center" vertical="center" wrapText="1"/>
    </xf>
    <xf numFmtId="4" fontId="79" fillId="18" borderId="0" xfId="0" applyNumberFormat="1" applyFont="1" applyFill="1" applyBorder="1" applyAlignment="1">
      <alignment horizontal="center" vertical="center" wrapText="1"/>
    </xf>
    <xf numFmtId="14" fontId="31" fillId="18" borderId="0" xfId="22" applyNumberFormat="1" applyFont="1" applyFill="1" applyBorder="1" applyAlignment="1">
      <alignment horizontal="center" vertical="center" wrapText="1"/>
    </xf>
    <xf numFmtId="0" fontId="5" fillId="18" borderId="0" xfId="22" applyNumberFormat="1" applyFont="1" applyFill="1" applyBorder="1" applyAlignment="1">
      <alignment horizontal="center" vertical="center" wrapText="1"/>
    </xf>
    <xf numFmtId="49" fontId="5" fillId="18" borderId="24" xfId="22" applyNumberFormat="1" applyFont="1" applyFill="1" applyBorder="1" applyAlignment="1">
      <alignment horizontal="center" vertical="center" wrapText="1"/>
    </xf>
    <xf numFmtId="1" fontId="5" fillId="18" borderId="23" xfId="22" applyNumberFormat="1" applyFont="1" applyFill="1" applyBorder="1" applyAlignment="1">
      <alignment horizontal="center" vertical="center" wrapText="1"/>
    </xf>
    <xf numFmtId="0" fontId="61" fillId="18" borderId="23" xfId="0" applyFont="1" applyFill="1" applyBorder="1" applyAlignment="1">
      <alignment horizontal="center" vertical="center" wrapText="1"/>
    </xf>
    <xf numFmtId="0" fontId="94" fillId="17" borderId="3" xfId="22" applyFont="1" applyFill="1" applyBorder="1" applyAlignment="1">
      <alignment horizontal="center" vertical="center" wrapText="1"/>
    </xf>
    <xf numFmtId="0" fontId="94" fillId="0" borderId="4" xfId="22" applyFont="1" applyFill="1" applyBorder="1" applyAlignment="1">
      <alignment horizontal="center" vertical="center" wrapText="1"/>
    </xf>
    <xf numFmtId="168" fontId="29" fillId="18" borderId="4" xfId="22" applyNumberFormat="1" applyFont="1" applyFill="1" applyBorder="1" applyAlignment="1">
      <alignment horizontal="center" vertical="center" wrapText="1"/>
    </xf>
    <xf numFmtId="168" fontId="29" fillId="22" borderId="4" xfId="22" applyNumberFormat="1" applyFont="1" applyFill="1" applyBorder="1" applyAlignment="1">
      <alignment horizontal="center" vertical="center" wrapText="1"/>
    </xf>
    <xf numFmtId="2" fontId="98" fillId="17" borderId="3" xfId="22" applyNumberFormat="1" applyFont="1" applyFill="1" applyBorder="1" applyAlignment="1">
      <alignment horizontal="center" vertical="center" wrapText="1"/>
    </xf>
    <xf numFmtId="2" fontId="29" fillId="20" borderId="3" xfId="22" applyNumberFormat="1" applyFont="1" applyFill="1" applyBorder="1" applyAlignment="1">
      <alignment horizontal="center" vertical="center" wrapText="1"/>
    </xf>
    <xf numFmtId="168" fontId="29" fillId="20" borderId="3" xfId="22" applyNumberFormat="1" applyFont="1" applyFill="1" applyBorder="1" applyAlignment="1">
      <alignment horizontal="center" vertical="center" wrapText="1"/>
    </xf>
    <xf numFmtId="2" fontId="29" fillId="21" borderId="3" xfId="22" applyNumberFormat="1" applyFont="1" applyFill="1" applyBorder="1" applyAlignment="1">
      <alignment horizontal="center" vertical="center" wrapText="1"/>
    </xf>
    <xf numFmtId="2" fontId="29" fillId="23" borderId="3" xfId="22" applyNumberFormat="1" applyFont="1" applyFill="1" applyBorder="1" applyAlignment="1">
      <alignment horizontal="center" vertical="center" wrapText="1"/>
    </xf>
    <xf numFmtId="168" fontId="29" fillId="23" borderId="4" xfId="22" applyNumberFormat="1" applyFont="1" applyFill="1" applyBorder="1" applyAlignment="1">
      <alignment horizontal="center" vertical="center" wrapText="1"/>
    </xf>
    <xf numFmtId="2" fontId="29" fillId="17" borderId="19" xfId="22" applyNumberFormat="1" applyFont="1" applyFill="1" applyBorder="1" applyAlignment="1">
      <alignment horizontal="center" vertical="center" wrapText="1"/>
    </xf>
    <xf numFmtId="168" fontId="29" fillId="0" borderId="21" xfId="22" applyNumberFormat="1" applyFont="1" applyFill="1" applyBorder="1" applyAlignment="1">
      <alignment horizontal="center" vertical="center" wrapText="1"/>
    </xf>
    <xf numFmtId="168" fontId="29" fillId="20" borderId="4" xfId="22" applyNumberFormat="1" applyFont="1" applyFill="1" applyBorder="1" applyAlignment="1">
      <alignment horizontal="center" vertical="center" wrapText="1"/>
    </xf>
    <xf numFmtId="168" fontId="29" fillId="23" borderId="3" xfId="22" applyNumberFormat="1" applyFont="1" applyFill="1" applyBorder="1" applyAlignment="1">
      <alignment horizontal="center" vertical="center" wrapText="1"/>
    </xf>
    <xf numFmtId="2" fontId="94" fillId="20" borderId="3" xfId="22" applyNumberFormat="1" applyFont="1" applyFill="1" applyBorder="1" applyAlignment="1">
      <alignment horizontal="center" vertical="center" wrapText="1"/>
    </xf>
    <xf numFmtId="168" fontId="94" fillId="20" borderId="3" xfId="22" applyNumberFormat="1" applyFont="1" applyFill="1" applyBorder="1" applyAlignment="1">
      <alignment horizontal="center" vertical="center" wrapText="1"/>
    </xf>
    <xf numFmtId="2" fontId="29" fillId="17" borderId="5" xfId="22" applyNumberFormat="1" applyFont="1" applyFill="1" applyBorder="1" applyAlignment="1">
      <alignment horizontal="center" vertical="center" wrapText="1"/>
    </xf>
    <xf numFmtId="168" fontId="29" fillId="0" borderId="5" xfId="22" applyNumberFormat="1" applyFont="1" applyFill="1" applyBorder="1" applyAlignment="1">
      <alignment horizontal="center" vertical="center" wrapText="1"/>
    </xf>
    <xf numFmtId="2" fontId="94" fillId="17" borderId="3" xfId="22" applyNumberFormat="1" applyFont="1" applyFill="1" applyBorder="1" applyAlignment="1">
      <alignment horizontal="center" vertical="center" wrapText="1"/>
    </xf>
    <xf numFmtId="168" fontId="94" fillId="0" borderId="3" xfId="22" applyNumberFormat="1" applyFont="1" applyFill="1" applyBorder="1" applyAlignment="1">
      <alignment horizontal="center" vertical="center" wrapText="1"/>
    </xf>
    <xf numFmtId="2" fontId="94" fillId="23" borderId="3" xfId="22" applyNumberFormat="1" applyFont="1" applyFill="1" applyBorder="1" applyAlignment="1">
      <alignment horizontal="center" vertical="center" wrapText="1"/>
    </xf>
    <xf numFmtId="168" fontId="29" fillId="21" borderId="3" xfId="22" applyNumberFormat="1" applyFont="1" applyFill="1" applyBorder="1" applyAlignment="1">
      <alignment horizontal="center" vertical="center" wrapText="1"/>
    </xf>
    <xf numFmtId="2" fontId="29" fillId="18" borderId="23" xfId="22" applyNumberFormat="1" applyFont="1" applyFill="1" applyBorder="1" applyAlignment="1">
      <alignment horizontal="center" vertical="center" wrapText="1"/>
    </xf>
    <xf numFmtId="2" fontId="0" fillId="20" borderId="3" xfId="0" applyNumberFormat="1" applyFill="1" applyBorder="1" applyAlignment="1">
      <alignment horizontal="center" vertical="center" wrapText="1"/>
    </xf>
    <xf numFmtId="1" fontId="7" fillId="22" borderId="3" xfId="22" applyNumberFormat="1" applyFont="1" applyFill="1" applyBorder="1" applyAlignment="1">
      <alignment horizontal="center" vertical="center" wrapText="1"/>
    </xf>
    <xf numFmtId="0" fontId="93" fillId="0" borderId="3" xfId="22" applyFont="1" applyFill="1" applyBorder="1" applyAlignment="1">
      <alignment horizontal="center" vertical="center" wrapText="1"/>
    </xf>
    <xf numFmtId="0" fontId="93" fillId="18" borderId="3" xfId="22" applyFont="1" applyFill="1" applyBorder="1" applyAlignment="1">
      <alignment horizontal="center" vertical="center" wrapText="1"/>
    </xf>
    <xf numFmtId="0" fontId="93" fillId="0" borderId="20" xfId="22" applyFont="1" applyFill="1" applyBorder="1" applyAlignment="1">
      <alignment horizontal="center" vertical="center" wrapText="1"/>
    </xf>
    <xf numFmtId="165" fontId="7" fillId="0" borderId="3" xfId="22" applyNumberFormat="1" applyFont="1" applyFill="1" applyBorder="1" applyAlignment="1">
      <alignment horizontal="center" vertical="center" wrapText="1"/>
    </xf>
    <xf numFmtId="4" fontId="57" fillId="0" borderId="3" xfId="0" applyNumberFormat="1" applyFont="1" applyBorder="1" applyAlignment="1">
      <alignment horizontal="center" vertical="center" wrapText="1"/>
    </xf>
    <xf numFmtId="4" fontId="68" fillId="0" borderId="3" xfId="0" applyNumberFormat="1" applyFont="1" applyBorder="1" applyAlignment="1">
      <alignment horizontal="center" vertical="center" wrapText="1"/>
    </xf>
    <xf numFmtId="4" fontId="83" fillId="0" borderId="0" xfId="0" applyNumberFormat="1" applyFont="1" applyAlignment="1">
      <alignment horizontal="center" vertical="center" wrapText="1"/>
    </xf>
    <xf numFmtId="14" fontId="99" fillId="0" borderId="3" xfId="22" applyNumberFormat="1" applyFont="1" applyBorder="1" applyAlignment="1">
      <alignment horizontal="center" vertical="center" wrapText="1"/>
    </xf>
    <xf numFmtId="165" fontId="5" fillId="20" borderId="3" xfId="22" applyNumberFormat="1" applyFont="1" applyFill="1" applyBorder="1" applyAlignment="1">
      <alignment horizontal="center" vertical="center" wrapText="1"/>
    </xf>
    <xf numFmtId="2" fontId="97" fillId="20" borderId="3" xfId="22" applyNumberFormat="1" applyFont="1" applyFill="1" applyBorder="1" applyAlignment="1">
      <alignment horizontal="center" vertical="center" wrapText="1"/>
    </xf>
    <xf numFmtId="2" fontId="5" fillId="20" borderId="6" xfId="22" applyNumberFormat="1" applyFont="1" applyFill="1" applyBorder="1" applyAlignment="1">
      <alignment horizontal="center" vertical="center" wrapText="1"/>
    </xf>
    <xf numFmtId="2" fontId="33" fillId="20" borderId="3" xfId="22" applyNumberFormat="1" applyFont="1" applyFill="1" applyBorder="1" applyAlignment="1">
      <alignment horizontal="center" vertical="center" wrapText="1"/>
    </xf>
    <xf numFmtId="1" fontId="44" fillId="20" borderId="3" xfId="22" applyNumberFormat="1" applyFont="1" applyFill="1" applyBorder="1" applyAlignment="1">
      <alignment horizontal="center" vertical="center" wrapText="1"/>
    </xf>
    <xf numFmtId="0" fontId="100" fillId="22" borderId="3" xfId="22" applyFont="1" applyFill="1" applyBorder="1" applyAlignment="1">
      <alignment horizontal="center" vertical="center" wrapText="1"/>
    </xf>
    <xf numFmtId="0" fontId="5" fillId="23" borderId="23" xfId="22" applyNumberFormat="1" applyFont="1" applyFill="1" applyBorder="1" applyAlignment="1">
      <alignment horizontal="center" vertical="center" wrapText="1"/>
    </xf>
    <xf numFmtId="168" fontId="5" fillId="0" borderId="3" xfId="22" applyNumberFormat="1" applyFont="1" applyFill="1" applyBorder="1" applyAlignment="1">
      <alignment horizontal="center" vertical="center" wrapText="1"/>
    </xf>
    <xf numFmtId="168" fontId="5" fillId="23" borderId="3" xfId="22" applyNumberFormat="1" applyFont="1" applyFill="1" applyBorder="1" applyAlignment="1">
      <alignment horizontal="center" vertical="center" wrapText="1"/>
    </xf>
    <xf numFmtId="49" fontId="37" fillId="22" borderId="3" xfId="22" applyNumberFormat="1" applyFont="1" applyFill="1" applyBorder="1" applyAlignment="1">
      <alignment horizontal="center" vertical="center" wrapText="1"/>
    </xf>
    <xf numFmtId="14" fontId="37" fillId="22" borderId="3" xfId="22" applyNumberFormat="1" applyFont="1" applyFill="1" applyBorder="1" applyAlignment="1">
      <alignment horizontal="center" vertical="center" wrapText="1"/>
    </xf>
    <xf numFmtId="0" fontId="47" fillId="22" borderId="0" xfId="0" applyFont="1" applyFill="1" applyAlignment="1">
      <alignment wrapText="1"/>
    </xf>
    <xf numFmtId="0" fontId="7" fillId="22" borderId="19" xfId="22" applyFont="1" applyFill="1" applyBorder="1" applyAlignment="1">
      <alignment horizontal="left" vertical="center" wrapText="1"/>
    </xf>
    <xf numFmtId="14" fontId="74" fillId="22" borderId="3" xfId="22" applyNumberFormat="1" applyFont="1" applyFill="1" applyBorder="1" applyAlignment="1">
      <alignment horizontal="center" vertical="center" wrapText="1"/>
    </xf>
    <xf numFmtId="164" fontId="6" fillId="22" borderId="3" xfId="32" applyFont="1" applyFill="1" applyBorder="1" applyAlignment="1">
      <alignment vertical="center" wrapText="1"/>
    </xf>
    <xf numFmtId="2" fontId="5" fillId="17" borderId="3" xfId="22" applyNumberFormat="1" applyFont="1" applyFill="1" applyBorder="1" applyAlignment="1">
      <alignment horizontal="center" vertical="center" wrapText="1"/>
    </xf>
    <xf numFmtId="4" fontId="57" fillId="0" borderId="6" xfId="0" applyNumberFormat="1" applyFont="1" applyBorder="1" applyAlignment="1">
      <alignment horizontal="center" vertical="center" wrapText="1"/>
    </xf>
    <xf numFmtId="4" fontId="56" fillId="0" borderId="6" xfId="0" applyNumberFormat="1" applyFont="1" applyBorder="1" applyAlignment="1">
      <alignment horizontal="center" vertical="center" wrapText="1"/>
    </xf>
    <xf numFmtId="2" fontId="40" fillId="0" borderId="3" xfId="0" applyNumberFormat="1" applyFont="1" applyBorder="1" applyAlignment="1">
      <alignment horizontal="center" vertical="center" textRotation="90" wrapText="1"/>
    </xf>
    <xf numFmtId="0" fontId="40" fillId="0" borderId="3" xfId="0" applyFont="1" applyBorder="1" applyAlignment="1">
      <alignment horizontal="center" vertical="center" textRotation="90" wrapText="1"/>
    </xf>
    <xf numFmtId="0" fontId="101" fillId="0" borderId="6" xfId="0" applyFont="1" applyBorder="1" applyAlignment="1">
      <alignment horizontal="center" vertical="center" textRotation="90" wrapText="1"/>
    </xf>
    <xf numFmtId="0" fontId="101" fillId="0" borderId="3" xfId="0" applyFont="1" applyBorder="1" applyAlignment="1">
      <alignment horizontal="center" vertical="center" textRotation="90" wrapText="1"/>
    </xf>
    <xf numFmtId="4" fontId="0" fillId="0" borderId="3" xfId="0" applyNumberFormat="1" applyBorder="1" applyAlignment="1">
      <alignment wrapText="1"/>
    </xf>
    <xf numFmtId="4" fontId="52" fillId="0" borderId="6" xfId="0" applyNumberFormat="1" applyFont="1" applyBorder="1" applyAlignment="1">
      <alignment horizontal="center" vertical="center" wrapText="1"/>
    </xf>
    <xf numFmtId="4" fontId="0" fillId="0" borderId="0" xfId="0" applyNumberFormat="1" applyAlignment="1">
      <alignment wrapText="1"/>
    </xf>
    <xf numFmtId="4" fontId="72" fillId="0" borderId="4" xfId="0" applyNumberFormat="1" applyFont="1" applyBorder="1" applyAlignment="1">
      <alignment horizontal="center" vertical="center" wrapText="1"/>
    </xf>
    <xf numFmtId="4" fontId="61" fillId="0" borderId="3" xfId="0" applyNumberFormat="1" applyFont="1" applyBorder="1" applyAlignment="1">
      <alignment horizontal="center" vertical="center" wrapText="1"/>
    </xf>
    <xf numFmtId="4" fontId="50" fillId="0" borderId="3" xfId="0" applyNumberFormat="1" applyFont="1" applyBorder="1" applyAlignment="1">
      <alignment vertical="center"/>
    </xf>
    <xf numFmtId="4" fontId="57" fillId="18" borderId="3" xfId="0" applyNumberFormat="1" applyFont="1" applyFill="1" applyBorder="1" applyAlignment="1">
      <alignment horizontal="center" vertical="center" wrapText="1"/>
    </xf>
    <xf numFmtId="4" fontId="0" fillId="18" borderId="0" xfId="0" applyNumberFormat="1" applyFill="1" applyAlignment="1">
      <alignment wrapText="1"/>
    </xf>
    <xf numFmtId="4" fontId="87" fillId="18" borderId="3" xfId="0" applyNumberFormat="1" applyFont="1" applyFill="1" applyBorder="1" applyAlignment="1">
      <alignment horizontal="center" vertical="center" wrapText="1"/>
    </xf>
    <xf numFmtId="4" fontId="72" fillId="18" borderId="4" xfId="0" applyNumberFormat="1" applyFont="1" applyFill="1" applyBorder="1" applyAlignment="1">
      <alignment horizontal="center" vertical="center" wrapText="1"/>
    </xf>
    <xf numFmtId="4" fontId="61" fillId="18" borderId="3" xfId="0" applyNumberFormat="1" applyFont="1" applyFill="1" applyBorder="1" applyAlignment="1">
      <alignment horizontal="center" vertical="center" wrapText="1"/>
    </xf>
    <xf numFmtId="4" fontId="56" fillId="18" borderId="6" xfId="0" applyNumberFormat="1" applyFont="1" applyFill="1" applyBorder="1" applyAlignment="1">
      <alignment horizontal="center" vertical="center" wrapText="1"/>
    </xf>
    <xf numFmtId="4" fontId="71" fillId="0" borderId="0" xfId="0" applyNumberFormat="1" applyFont="1" applyAlignment="1">
      <alignment wrapText="1"/>
    </xf>
    <xf numFmtId="4" fontId="50" fillId="0" borderId="3" xfId="0" applyNumberFormat="1" applyFont="1" applyBorder="1" applyAlignment="1">
      <alignment wrapText="1"/>
    </xf>
    <xf numFmtId="4" fontId="72" fillId="22" borderId="4" xfId="0" applyNumberFormat="1" applyFont="1" applyFill="1" applyBorder="1" applyAlignment="1">
      <alignment horizontal="center" vertical="center" wrapText="1"/>
    </xf>
    <xf numFmtId="4" fontId="56" fillId="22" borderId="6" xfId="0" applyNumberFormat="1" applyFont="1" applyFill="1" applyBorder="1" applyAlignment="1">
      <alignment horizontal="center" vertical="center" wrapText="1"/>
    </xf>
    <xf numFmtId="4" fontId="59" fillId="18" borderId="3" xfId="0" applyNumberFormat="1" applyFont="1" applyFill="1" applyBorder="1" applyAlignment="1">
      <alignment horizontal="center" vertical="center" wrapText="1"/>
    </xf>
    <xf numFmtId="4" fontId="57" fillId="20" borderId="3" xfId="0" applyNumberFormat="1" applyFont="1" applyFill="1" applyBorder="1" applyAlignment="1">
      <alignment horizontal="center" vertical="center" wrapText="1"/>
    </xf>
    <xf numFmtId="4" fontId="71" fillId="22" borderId="0" xfId="0" applyNumberFormat="1" applyFont="1" applyFill="1" applyAlignment="1">
      <alignment wrapText="1"/>
    </xf>
    <xf numFmtId="4" fontId="58" fillId="22" borderId="6" xfId="0" applyNumberFormat="1" applyFont="1" applyFill="1" applyBorder="1" applyAlignment="1">
      <alignment horizontal="center" vertical="center" wrapText="1"/>
    </xf>
    <xf numFmtId="4" fontId="58" fillId="18" borderId="6" xfId="0" applyNumberFormat="1" applyFont="1" applyFill="1" applyBorder="1" applyAlignment="1">
      <alignment horizontal="center" vertical="center" wrapText="1"/>
    </xf>
    <xf numFmtId="4" fontId="58" fillId="0" borderId="6" xfId="0" applyNumberFormat="1" applyFont="1" applyBorder="1" applyAlignment="1">
      <alignment horizontal="center" vertical="center" wrapText="1"/>
    </xf>
    <xf numFmtId="4" fontId="73" fillId="0" borderId="0" xfId="0" applyNumberFormat="1" applyFont="1" applyAlignment="1">
      <alignment wrapText="1"/>
    </xf>
    <xf numFmtId="4" fontId="58" fillId="18" borderId="4" xfId="0" applyNumberFormat="1" applyFont="1" applyFill="1" applyBorder="1" applyAlignment="1">
      <alignment horizontal="center" vertical="center" wrapText="1"/>
    </xf>
    <xf numFmtId="4" fontId="60" fillId="0" borderId="6" xfId="0" applyNumberFormat="1" applyFont="1" applyBorder="1" applyAlignment="1">
      <alignment horizontal="center" vertical="center" wrapText="1"/>
    </xf>
    <xf numFmtId="4" fontId="58" fillId="22" borderId="4" xfId="0" applyNumberFormat="1" applyFont="1" applyFill="1" applyBorder="1" applyAlignment="1">
      <alignment horizontal="center" vertical="center" wrapText="1"/>
    </xf>
    <xf numFmtId="4" fontId="50" fillId="22" borderId="0" xfId="0" applyNumberFormat="1" applyFont="1" applyFill="1" applyAlignment="1">
      <alignment horizontal="center" vertical="center" wrapText="1"/>
    </xf>
    <xf numFmtId="4" fontId="62" fillId="0" borderId="6" xfId="0" applyNumberFormat="1" applyFont="1" applyBorder="1" applyAlignment="1">
      <alignment horizontal="center" vertical="center" wrapText="1"/>
    </xf>
    <xf numFmtId="4" fontId="58" fillId="23" borderId="4" xfId="0" applyNumberFormat="1" applyFont="1" applyFill="1" applyBorder="1" applyAlignment="1">
      <alignment horizontal="center" vertical="center" wrapText="1"/>
    </xf>
    <xf numFmtId="4" fontId="56" fillId="23" borderId="6" xfId="0" applyNumberFormat="1" applyFont="1" applyFill="1" applyBorder="1" applyAlignment="1">
      <alignment horizontal="center" vertical="center" wrapText="1"/>
    </xf>
    <xf numFmtId="4" fontId="84" fillId="0" borderId="0" xfId="0" applyNumberFormat="1" applyFont="1" applyAlignment="1">
      <alignment horizontal="center" vertical="center"/>
    </xf>
    <xf numFmtId="4" fontId="56" fillId="22" borderId="4" xfId="0" applyNumberFormat="1" applyFont="1" applyFill="1" applyBorder="1" applyAlignment="1">
      <alignment horizontal="center" vertical="center" wrapText="1"/>
    </xf>
    <xf numFmtId="4" fontId="68" fillId="22" borderId="3" xfId="0" applyNumberFormat="1" applyFont="1" applyFill="1" applyBorder="1" applyAlignment="1">
      <alignment horizontal="center" vertical="center" wrapText="1"/>
    </xf>
    <xf numFmtId="4" fontId="50" fillId="23" borderId="0" xfId="0" applyNumberFormat="1" applyFont="1" applyFill="1" applyAlignment="1">
      <alignment wrapText="1"/>
    </xf>
    <xf numFmtId="4" fontId="58" fillId="20" borderId="4" xfId="0" applyNumberFormat="1" applyFont="1" applyFill="1" applyBorder="1" applyAlignment="1">
      <alignment horizontal="center" vertical="center" wrapText="1"/>
    </xf>
    <xf numFmtId="4" fontId="26" fillId="23" borderId="4" xfId="0" applyNumberFormat="1" applyFont="1" applyFill="1" applyBorder="1" applyAlignment="1">
      <alignment horizontal="center" vertical="center"/>
    </xf>
    <xf numFmtId="4" fontId="73" fillId="18" borderId="0" xfId="0" applyNumberFormat="1" applyFont="1" applyFill="1" applyAlignment="1">
      <alignment wrapText="1"/>
    </xf>
    <xf numFmtId="4" fontId="41" fillId="23" borderId="0" xfId="0" applyNumberFormat="1" applyFont="1" applyFill="1" applyAlignment="1">
      <alignment wrapText="1"/>
    </xf>
    <xf numFmtId="4" fontId="0" fillId="18" borderId="0" xfId="0" applyNumberFormat="1" applyFill="1" applyAlignment="1">
      <alignment horizontal="center" vertical="center" wrapText="1"/>
    </xf>
    <xf numFmtId="4" fontId="95" fillId="0" borderId="4" xfId="0" applyNumberFormat="1" applyFont="1" applyBorder="1" applyAlignment="1">
      <alignment horizontal="center" vertical="center" wrapText="1"/>
    </xf>
    <xf numFmtId="4" fontId="68" fillId="20" borderId="3" xfId="0" applyNumberFormat="1" applyFont="1" applyFill="1" applyBorder="1" applyAlignment="1">
      <alignment horizontal="center" vertical="center" wrapText="1"/>
    </xf>
    <xf numFmtId="4" fontId="60" fillId="0" borderId="0" xfId="0" applyNumberFormat="1" applyFont="1" applyBorder="1" applyAlignment="1">
      <alignment horizontal="center" vertical="center" wrapText="1"/>
    </xf>
    <xf numFmtId="4" fontId="45" fillId="0" borderId="0" xfId="0" applyNumberFormat="1" applyFont="1" applyAlignment="1">
      <alignment wrapText="1"/>
    </xf>
    <xf numFmtId="4" fontId="56" fillId="23" borderId="4" xfId="0" applyNumberFormat="1" applyFont="1" applyFill="1" applyBorder="1" applyAlignment="1">
      <alignment horizontal="center" vertical="center" wrapText="1"/>
    </xf>
    <xf numFmtId="4" fontId="52" fillId="0" borderId="5" xfId="0" applyNumberFormat="1" applyFont="1" applyBorder="1" applyAlignment="1">
      <alignment horizontal="center" vertical="center" wrapText="1"/>
    </xf>
    <xf numFmtId="4" fontId="76" fillId="0" borderId="5" xfId="0" applyNumberFormat="1" applyFont="1" applyBorder="1" applyAlignment="1">
      <alignment horizontal="center" vertical="center" wrapText="1"/>
    </xf>
    <xf numFmtId="4" fontId="87" fillId="0" borderId="5" xfId="0" applyNumberFormat="1" applyFont="1" applyBorder="1" applyAlignment="1">
      <alignment horizontal="center" vertical="center" wrapText="1"/>
    </xf>
    <xf numFmtId="4" fontId="72" fillId="0" borderId="9" xfId="0" applyNumberFormat="1" applyFont="1" applyBorder="1" applyAlignment="1">
      <alignment horizontal="center" vertical="center" wrapText="1"/>
    </xf>
    <xf numFmtId="4" fontId="56" fillId="0" borderId="8" xfId="0" applyNumberFormat="1" applyFont="1" applyBorder="1" applyAlignment="1">
      <alignment horizontal="center" vertical="center" wrapText="1"/>
    </xf>
    <xf numFmtId="4" fontId="45" fillId="22" borderId="0" xfId="0" applyNumberFormat="1" applyFont="1" applyFill="1" applyAlignment="1">
      <alignment horizontal="center" vertical="center" wrapText="1"/>
    </xf>
    <xf numFmtId="4" fontId="41" fillId="23" borderId="3" xfId="0" applyNumberFormat="1" applyFont="1" applyFill="1" applyBorder="1" applyAlignment="1">
      <alignment horizontal="center" vertical="center"/>
    </xf>
    <xf numFmtId="4" fontId="81" fillId="0" borderId="0" xfId="0" applyNumberFormat="1" applyFont="1" applyAlignment="1">
      <alignment wrapText="1"/>
    </xf>
    <xf numFmtId="4" fontId="0" fillId="0" borderId="0" xfId="0" applyNumberFormat="1" applyFont="1" applyAlignment="1">
      <alignment wrapText="1"/>
    </xf>
    <xf numFmtId="4" fontId="64" fillId="20" borderId="0" xfId="0" applyNumberFormat="1" applyFont="1" applyFill="1"/>
    <xf numFmtId="4" fontId="52" fillId="0" borderId="4" xfId="0" applyNumberFormat="1" applyFont="1" applyBorder="1" applyAlignment="1">
      <alignment horizontal="center" vertical="center" wrapText="1"/>
    </xf>
    <xf numFmtId="4" fontId="41" fillId="18" borderId="0" xfId="0" applyNumberFormat="1" applyFont="1" applyFill="1" applyAlignment="1">
      <alignment wrapText="1"/>
    </xf>
    <xf numFmtId="4" fontId="47" fillId="0" borderId="0" xfId="0" applyNumberFormat="1" applyFont="1" applyAlignment="1">
      <alignment wrapText="1"/>
    </xf>
    <xf numFmtId="4" fontId="92" fillId="20" borderId="4" xfId="0" applyNumberFormat="1" applyFont="1" applyFill="1" applyBorder="1" applyAlignment="1">
      <alignment horizontal="center" vertical="center" wrapText="1"/>
    </xf>
    <xf numFmtId="4" fontId="92" fillId="20" borderId="6" xfId="0" applyNumberFormat="1" applyFont="1" applyFill="1" applyBorder="1" applyAlignment="1">
      <alignment horizontal="center" vertical="center" wrapText="1"/>
    </xf>
    <xf numFmtId="4" fontId="58" fillId="0" borderId="4" xfId="0" applyNumberFormat="1" applyFont="1" applyBorder="1" applyAlignment="1">
      <alignment horizontal="center" vertical="center" wrapText="1"/>
    </xf>
    <xf numFmtId="4" fontId="88" fillId="22" borderId="0" xfId="0" applyNumberFormat="1" applyFont="1" applyFill="1" applyAlignment="1">
      <alignment wrapText="1"/>
    </xf>
    <xf numFmtId="4" fontId="58" fillId="23" borderId="0" xfId="0" applyNumberFormat="1" applyFont="1" applyFill="1" applyBorder="1" applyAlignment="1">
      <alignment horizontal="center" vertical="center" wrapText="1"/>
    </xf>
    <xf numFmtId="4" fontId="41" fillId="23" borderId="3" xfId="0" applyNumberFormat="1" applyFont="1" applyFill="1" applyBorder="1"/>
    <xf numFmtId="2" fontId="101" fillId="0" borderId="3" xfId="0" applyNumberFormat="1" applyFont="1" applyBorder="1" applyAlignment="1">
      <alignment horizontal="center" vertical="center" textRotation="90" wrapText="1"/>
    </xf>
    <xf numFmtId="2" fontId="51" fillId="22" borderId="3" xfId="0" applyNumberFormat="1" applyFont="1" applyFill="1" applyBorder="1" applyAlignment="1">
      <alignment horizontal="center" vertical="center" wrapText="1"/>
    </xf>
    <xf numFmtId="2" fontId="51" fillId="23" borderId="3" xfId="0" applyNumberFormat="1" applyFont="1" applyFill="1" applyBorder="1" applyAlignment="1">
      <alignment horizontal="center" vertical="center" wrapText="1"/>
    </xf>
    <xf numFmtId="2" fontId="29" fillId="0" borderId="3" xfId="22" applyNumberFormat="1" applyFont="1" applyFill="1" applyBorder="1" applyAlignment="1">
      <alignment horizontal="center" vertical="center" wrapText="1"/>
    </xf>
    <xf numFmtId="2" fontId="49" fillId="20" borderId="3" xfId="0" applyNumberFormat="1" applyFont="1" applyFill="1" applyBorder="1" applyAlignment="1">
      <alignment horizontal="center" vertical="center" wrapText="1"/>
    </xf>
    <xf numFmtId="2" fontId="29" fillId="23" borderId="4" xfId="22" applyNumberFormat="1" applyFont="1" applyFill="1" applyBorder="1" applyAlignment="1">
      <alignment horizontal="center" vertical="center" wrapText="1"/>
    </xf>
    <xf numFmtId="2" fontId="62" fillId="20" borderId="3" xfId="0" applyNumberFormat="1" applyFont="1" applyFill="1" applyBorder="1" applyAlignment="1">
      <alignment horizontal="center" vertical="center" wrapText="1"/>
    </xf>
    <xf numFmtId="4" fontId="53" fillId="18" borderId="3" xfId="0" applyNumberFormat="1" applyFont="1" applyFill="1" applyBorder="1" applyAlignment="1">
      <alignment horizontal="center" vertical="center" wrapText="1"/>
    </xf>
    <xf numFmtId="4" fontId="53" fillId="18" borderId="6" xfId="0" applyNumberFormat="1" applyFont="1" applyFill="1" applyBorder="1" applyAlignment="1">
      <alignment horizontal="center" vertical="center" wrapText="1"/>
    </xf>
    <xf numFmtId="4" fontId="26" fillId="22" borderId="0" xfId="0" applyNumberFormat="1" applyFont="1" applyFill="1" applyAlignment="1">
      <alignment horizontal="center" vertical="center"/>
    </xf>
    <xf numFmtId="4" fontId="41" fillId="22" borderId="3" xfId="0" applyNumberFormat="1" applyFont="1" applyFill="1" applyBorder="1" applyAlignment="1">
      <alignment wrapText="1"/>
    </xf>
    <xf numFmtId="4" fontId="50" fillId="22" borderId="3" xfId="0" applyNumberFormat="1" applyFont="1" applyFill="1" applyBorder="1" applyAlignment="1">
      <alignment wrapText="1"/>
    </xf>
    <xf numFmtId="4" fontId="61" fillId="22" borderId="19" xfId="0" applyNumberFormat="1" applyFont="1" applyFill="1" applyBorder="1" applyAlignment="1">
      <alignment horizontal="center" vertical="center" wrapText="1"/>
    </xf>
    <xf numFmtId="1" fontId="6" fillId="18" borderId="3" xfId="22" applyNumberFormat="1" applyFont="1" applyFill="1" applyBorder="1" applyAlignment="1">
      <alignment horizontal="center" vertical="center" wrapText="1"/>
    </xf>
    <xf numFmtId="2" fontId="58" fillId="24" borderId="3" xfId="0" applyNumberFormat="1" applyFont="1" applyFill="1" applyBorder="1" applyAlignment="1">
      <alignment horizontal="center" vertical="center" wrapText="1"/>
    </xf>
    <xf numFmtId="2" fontId="58" fillId="0" borderId="5" xfId="0" applyNumberFormat="1" applyFont="1" applyBorder="1" applyAlignment="1">
      <alignment horizontal="center" vertical="center" wrapText="1"/>
    </xf>
    <xf numFmtId="2" fontId="68" fillId="22" borderId="3" xfId="0" applyNumberFormat="1" applyFont="1" applyFill="1" applyBorder="1" applyAlignment="1">
      <alignment horizontal="center" vertical="center" wrapText="1"/>
    </xf>
    <xf numFmtId="0" fontId="29" fillId="22" borderId="3" xfId="22" applyFont="1" applyFill="1" applyBorder="1" applyAlignment="1">
      <alignment horizontal="left" vertical="center" wrapText="1"/>
    </xf>
    <xf numFmtId="0" fontId="29" fillId="20" borderId="19" xfId="22" applyFont="1" applyFill="1" applyBorder="1" applyAlignment="1">
      <alignment horizontal="left" vertical="center" wrapText="1"/>
    </xf>
    <xf numFmtId="0" fontId="29" fillId="20" borderId="3" xfId="2" applyFont="1" applyFill="1" applyBorder="1" applyAlignment="1">
      <alignment horizontal="center" vertical="center" wrapText="1"/>
    </xf>
    <xf numFmtId="0" fontId="29" fillId="20" borderId="3" xfId="22" applyFont="1" applyFill="1" applyBorder="1" applyAlignment="1">
      <alignment horizontal="center" vertical="center" wrapText="1"/>
    </xf>
    <xf numFmtId="1" fontId="29" fillId="20" borderId="20" xfId="22" applyNumberFormat="1" applyFont="1" applyFill="1" applyBorder="1" applyAlignment="1">
      <alignment horizontal="center" vertical="center" wrapText="1"/>
    </xf>
    <xf numFmtId="49" fontId="29" fillId="20" borderId="20" xfId="22" applyNumberFormat="1" applyFont="1" applyFill="1" applyBorder="1" applyAlignment="1">
      <alignment horizontal="center" vertical="center" wrapText="1"/>
    </xf>
    <xf numFmtId="0" fontId="29" fillId="20" borderId="6" xfId="22" applyFont="1" applyFill="1" applyBorder="1" applyAlignment="1">
      <alignment horizontal="center" vertical="center" wrapText="1"/>
    </xf>
    <xf numFmtId="49" fontId="29" fillId="20" borderId="6" xfId="22" applyNumberFormat="1" applyFont="1" applyFill="1" applyBorder="1" applyAlignment="1">
      <alignment horizontal="center" vertical="center" wrapText="1"/>
    </xf>
    <xf numFmtId="14" fontId="29" fillId="20" borderId="6" xfId="22" applyNumberFormat="1" applyFont="1" applyFill="1" applyBorder="1" applyAlignment="1">
      <alignment horizontal="center" vertical="center" wrapText="1"/>
    </xf>
    <xf numFmtId="166" fontId="29" fillId="20" borderId="4" xfId="22" applyNumberFormat="1" applyFont="1" applyFill="1" applyBorder="1" applyAlignment="1">
      <alignment horizontal="center" vertical="center" wrapText="1"/>
    </xf>
    <xf numFmtId="2" fontId="29" fillId="20" borderId="4" xfId="22" applyNumberFormat="1" applyFont="1" applyFill="1" applyBorder="1" applyAlignment="1">
      <alignment horizontal="center" vertical="center" wrapText="1"/>
    </xf>
    <xf numFmtId="164" fontId="29" fillId="20" borderId="3" xfId="32" applyFont="1" applyFill="1" applyBorder="1" applyAlignment="1">
      <alignment vertical="center" wrapText="1"/>
    </xf>
    <xf numFmtId="2" fontId="52" fillId="20" borderId="3" xfId="0" applyNumberFormat="1" applyFont="1" applyFill="1" applyBorder="1" applyAlignment="1">
      <alignment horizontal="center" vertical="center" wrapText="1"/>
    </xf>
    <xf numFmtId="2" fontId="68" fillId="20" borderId="3" xfId="0" applyNumberFormat="1" applyFont="1" applyFill="1" applyBorder="1" applyAlignment="1">
      <alignment horizontal="center" vertical="center" wrapText="1"/>
    </xf>
    <xf numFmtId="4" fontId="52" fillId="20" borderId="4" xfId="0" applyNumberFormat="1" applyFont="1" applyFill="1" applyBorder="1" applyAlignment="1">
      <alignment horizontal="center" vertical="center" wrapText="1"/>
    </xf>
    <xf numFmtId="4" fontId="52" fillId="20" borderId="6" xfId="0" applyNumberFormat="1" applyFont="1" applyFill="1" applyBorder="1" applyAlignment="1">
      <alignment horizontal="center" vertical="center" wrapText="1"/>
    </xf>
    <xf numFmtId="14" fontId="70" fillId="20" borderId="3" xfId="22" applyNumberFormat="1" applyFont="1" applyFill="1" applyBorder="1" applyAlignment="1">
      <alignment horizontal="center" vertical="center" wrapText="1"/>
    </xf>
    <xf numFmtId="0" fontId="29" fillId="20" borderId="20" xfId="22" applyNumberFormat="1" applyFont="1" applyFill="1" applyBorder="1" applyAlignment="1">
      <alignment horizontal="center" vertical="center" wrapText="1"/>
    </xf>
    <xf numFmtId="49" fontId="29" fillId="20" borderId="3" xfId="22" applyNumberFormat="1" applyFont="1" applyFill="1" applyBorder="1" applyAlignment="1">
      <alignment horizontal="center" vertical="center" wrapText="1"/>
    </xf>
    <xf numFmtId="2" fontId="103" fillId="18" borderId="3" xfId="0" applyNumberFormat="1" applyFont="1" applyFill="1" applyBorder="1" applyAlignment="1">
      <alignment horizontal="center" vertical="center" textRotation="90" wrapText="1"/>
    </xf>
    <xf numFmtId="1" fontId="6" fillId="18" borderId="19" xfId="22" applyNumberFormat="1" applyFont="1" applyFill="1" applyBorder="1" applyAlignment="1">
      <alignment horizontal="center" vertical="center" wrapText="1"/>
    </xf>
    <xf numFmtId="4" fontId="53" fillId="18" borderId="4" xfId="0" applyNumberFormat="1" applyFont="1" applyFill="1" applyBorder="1" applyAlignment="1">
      <alignment horizontal="center" vertical="center" wrapText="1"/>
    </xf>
    <xf numFmtId="4" fontId="90" fillId="18" borderId="3" xfId="0" applyNumberFormat="1" applyFont="1" applyFill="1" applyBorder="1" applyAlignment="1">
      <alignment horizontal="center" vertical="center" wrapText="1"/>
    </xf>
    <xf numFmtId="4" fontId="67" fillId="18" borderId="3" xfId="0" applyNumberFormat="1" applyFont="1" applyFill="1" applyBorder="1" applyAlignment="1">
      <alignment horizontal="center" vertical="center" wrapText="1"/>
    </xf>
    <xf numFmtId="4" fontId="104" fillId="18" borderId="3" xfId="0" applyNumberFormat="1" applyFont="1" applyFill="1" applyBorder="1" applyAlignment="1">
      <alignment horizontal="center" vertical="center" wrapText="1"/>
    </xf>
    <xf numFmtId="4" fontId="55" fillId="18" borderId="0" xfId="0" applyNumberFormat="1" applyFont="1" applyFill="1" applyAlignment="1">
      <alignment wrapText="1"/>
    </xf>
    <xf numFmtId="4" fontId="67" fillId="18" borderId="6" xfId="0" applyNumberFormat="1" applyFont="1" applyFill="1" applyBorder="1" applyAlignment="1">
      <alignment horizontal="center" vertical="center" wrapText="1"/>
    </xf>
    <xf numFmtId="4" fontId="67" fillId="22" borderId="3" xfId="0" applyNumberFormat="1" applyFont="1" applyFill="1" applyBorder="1" applyAlignment="1">
      <alignment horizontal="center" vertical="center" wrapText="1"/>
    </xf>
    <xf numFmtId="4" fontId="53" fillId="18" borderId="5" xfId="0" applyNumberFormat="1" applyFont="1" applyFill="1" applyBorder="1" applyAlignment="1">
      <alignment horizontal="center" vertical="center" wrapText="1"/>
    </xf>
    <xf numFmtId="4" fontId="105" fillId="18" borderId="3" xfId="0" applyNumberFormat="1" applyFont="1" applyFill="1" applyBorder="1" applyAlignment="1">
      <alignment horizontal="center" vertical="center" wrapText="1"/>
    </xf>
    <xf numFmtId="2" fontId="53" fillId="18" borderId="0" xfId="0" applyNumberFormat="1" applyFont="1" applyFill="1" applyBorder="1" applyAlignment="1">
      <alignment horizontal="center" vertical="center" wrapText="1"/>
    </xf>
    <xf numFmtId="0" fontId="49" fillId="18" borderId="0" xfId="0" applyFont="1" applyFill="1" applyAlignment="1">
      <alignment wrapText="1"/>
    </xf>
    <xf numFmtId="1" fontId="7" fillId="0" borderId="23" xfId="22" applyNumberFormat="1" applyFont="1" applyFill="1" applyBorder="1" applyAlignment="1">
      <alignment horizontal="center" vertical="center" wrapText="1"/>
    </xf>
    <xf numFmtId="4" fontId="48" fillId="0" borderId="3" xfId="0" applyNumberFormat="1" applyFont="1" applyBorder="1" applyAlignment="1">
      <alignment wrapText="1"/>
    </xf>
    <xf numFmtId="4" fontId="57" fillId="0" borderId="19" xfId="0" applyNumberFormat="1" applyFont="1" applyBorder="1" applyAlignment="1">
      <alignment horizontal="center" vertical="center" wrapText="1"/>
    </xf>
    <xf numFmtId="4" fontId="57" fillId="22" borderId="3" xfId="0" applyNumberFormat="1" applyFont="1" applyFill="1" applyBorder="1" applyAlignment="1">
      <alignment horizontal="center" vertical="center" wrapText="1"/>
    </xf>
    <xf numFmtId="4" fontId="48" fillId="0" borderId="0" xfId="0" applyNumberFormat="1" applyFont="1" applyAlignment="1">
      <alignment wrapText="1"/>
    </xf>
    <xf numFmtId="4" fontId="92" fillId="0" borderId="3" xfId="0" applyNumberFormat="1" applyFont="1" applyBorder="1" applyAlignment="1">
      <alignment horizontal="center" vertical="center" wrapText="1"/>
    </xf>
    <xf numFmtId="4" fontId="57" fillId="23" borderId="3" xfId="0" applyNumberFormat="1" applyFont="1" applyFill="1" applyBorder="1" applyAlignment="1">
      <alignment horizontal="center" vertical="center" wrapText="1"/>
    </xf>
    <xf numFmtId="4" fontId="106" fillId="22" borderId="0" xfId="0" applyNumberFormat="1" applyFont="1" applyFill="1" applyAlignment="1">
      <alignment horizontal="center" vertical="center"/>
    </xf>
    <xf numFmtId="4" fontId="48" fillId="0" borderId="0" xfId="0" applyNumberFormat="1" applyFont="1" applyAlignment="1">
      <alignment horizontal="center" vertical="center" wrapText="1"/>
    </xf>
    <xf numFmtId="4" fontId="57" fillId="0" borderId="0" xfId="0" applyNumberFormat="1" applyFont="1" applyBorder="1" applyAlignment="1">
      <alignment horizontal="center" vertical="center" wrapText="1"/>
    </xf>
    <xf numFmtId="4" fontId="106" fillId="22" borderId="0" xfId="0" applyNumberFormat="1" applyFont="1" applyFill="1"/>
    <xf numFmtId="4" fontId="106" fillId="0" borderId="3" xfId="0" applyNumberFormat="1" applyFont="1" applyBorder="1"/>
    <xf numFmtId="4" fontId="57" fillId="0" borderId="0" xfId="0" applyNumberFormat="1" applyFont="1" applyAlignment="1">
      <alignment wrapText="1"/>
    </xf>
    <xf numFmtId="0" fontId="57" fillId="18" borderId="0" xfId="0" applyFont="1" applyFill="1" applyBorder="1" applyAlignment="1">
      <alignment horizontal="center" vertical="center" wrapText="1"/>
    </xf>
    <xf numFmtId="4" fontId="50" fillId="0" borderId="3" xfId="0" applyNumberFormat="1" applyFont="1" applyBorder="1"/>
    <xf numFmtId="4" fontId="55" fillId="0" borderId="0" xfId="0" applyNumberFormat="1" applyFont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48" fillId="0" borderId="0" xfId="0" applyFont="1" applyAlignment="1">
      <alignment horizontal="center" wrapText="1"/>
    </xf>
    <xf numFmtId="0" fontId="53" fillId="0" borderId="0" xfId="0" applyFont="1" applyAlignment="1">
      <alignment wrapText="1"/>
    </xf>
    <xf numFmtId="4" fontId="48" fillId="0" borderId="3" xfId="0" applyNumberFormat="1" applyFont="1" applyBorder="1" applyAlignment="1">
      <alignment horizontal="center" vertical="center"/>
    </xf>
    <xf numFmtId="0" fontId="108" fillId="0" borderId="0" xfId="0" applyFont="1" applyAlignment="1">
      <alignment wrapText="1"/>
    </xf>
    <xf numFmtId="0" fontId="36" fillId="18" borderId="0" xfId="22" applyFont="1" applyFill="1" applyBorder="1" applyAlignment="1">
      <alignment horizontal="left" vertical="center" wrapText="1"/>
    </xf>
    <xf numFmtId="4" fontId="48" fillId="22" borderId="0" xfId="0" applyNumberFormat="1" applyFont="1" applyFill="1" applyAlignment="1">
      <alignment horizontal="center" vertical="center" wrapText="1"/>
    </xf>
    <xf numFmtId="166" fontId="29" fillId="18" borderId="19" xfId="22" applyNumberFormat="1" applyFont="1" applyFill="1" applyBorder="1" applyAlignment="1">
      <alignment horizontal="left" vertical="center" wrapText="1"/>
    </xf>
    <xf numFmtId="166" fontId="29" fillId="18" borderId="19" xfId="22" applyNumberFormat="1" applyFont="1" applyFill="1" applyBorder="1" applyAlignment="1">
      <alignment horizontal="center" vertical="center" wrapText="1"/>
    </xf>
    <xf numFmtId="0" fontId="29" fillId="18" borderId="3" xfId="22" applyFont="1" applyFill="1" applyBorder="1" applyAlignment="1">
      <alignment horizontal="center" vertical="center" wrapText="1"/>
    </xf>
    <xf numFmtId="1" fontId="29" fillId="18" borderId="20" xfId="22" applyNumberFormat="1" applyFont="1" applyFill="1" applyBorder="1" applyAlignment="1">
      <alignment horizontal="center" vertical="center" wrapText="1"/>
    </xf>
    <xf numFmtId="49" fontId="29" fillId="18" borderId="20" xfId="22" applyNumberFormat="1" applyFont="1" applyFill="1" applyBorder="1" applyAlignment="1">
      <alignment horizontal="center" vertical="center" wrapText="1"/>
    </xf>
    <xf numFmtId="0" fontId="29" fillId="18" borderId="6" xfId="22" applyFont="1" applyFill="1" applyBorder="1" applyAlignment="1">
      <alignment horizontal="center" vertical="center" wrapText="1"/>
    </xf>
    <xf numFmtId="49" fontId="29" fillId="18" borderId="6" xfId="22" applyNumberFormat="1" applyFont="1" applyFill="1" applyBorder="1" applyAlignment="1">
      <alignment horizontal="center" vertical="center" wrapText="1"/>
    </xf>
    <xf numFmtId="14" fontId="29" fillId="18" borderId="6" xfId="22" applyNumberFormat="1" applyFont="1" applyFill="1" applyBorder="1" applyAlignment="1">
      <alignment horizontal="center" vertical="center" wrapText="1"/>
    </xf>
    <xf numFmtId="166" fontId="29" fillId="18" borderId="4" xfId="22" applyNumberFormat="1" applyFont="1" applyFill="1" applyBorder="1" applyAlignment="1">
      <alignment horizontal="center" vertical="center" wrapText="1"/>
    </xf>
    <xf numFmtId="2" fontId="29" fillId="18" borderId="4" xfId="22" applyNumberFormat="1" applyFont="1" applyFill="1" applyBorder="1" applyAlignment="1">
      <alignment horizontal="center" vertical="center" wrapText="1"/>
    </xf>
    <xf numFmtId="164" fontId="29" fillId="18" borderId="3" xfId="32" applyFont="1" applyFill="1" applyBorder="1" applyAlignment="1">
      <alignment vertical="center" wrapText="1"/>
    </xf>
    <xf numFmtId="4" fontId="68" fillId="18" borderId="3" xfId="0" applyNumberFormat="1" applyFont="1" applyFill="1" applyBorder="1" applyAlignment="1">
      <alignment horizontal="center" vertical="center" wrapText="1"/>
    </xf>
    <xf numFmtId="4" fontId="52" fillId="18" borderId="4" xfId="0" applyNumberFormat="1" applyFont="1" applyFill="1" applyBorder="1" applyAlignment="1">
      <alignment horizontal="center" vertical="center" wrapText="1"/>
    </xf>
    <xf numFmtId="4" fontId="52" fillId="18" borderId="6" xfId="0" applyNumberFormat="1" applyFont="1" applyFill="1" applyBorder="1" applyAlignment="1">
      <alignment horizontal="center" vertical="center" wrapText="1"/>
    </xf>
    <xf numFmtId="14" fontId="29" fillId="18" borderId="3" xfId="22" applyNumberFormat="1" applyFont="1" applyFill="1" applyBorder="1" applyAlignment="1">
      <alignment horizontal="center" vertical="center" wrapText="1"/>
    </xf>
    <xf numFmtId="14" fontId="29" fillId="18" borderId="20" xfId="22" applyNumberFormat="1" applyFont="1" applyFill="1" applyBorder="1" applyAlignment="1">
      <alignment horizontal="center" vertical="center" wrapText="1"/>
    </xf>
    <xf numFmtId="49" fontId="29" fillId="18" borderId="3" xfId="22" applyNumberFormat="1" applyFont="1" applyFill="1" applyBorder="1" applyAlignment="1">
      <alignment horizontal="center" vertical="center" wrapText="1"/>
    </xf>
    <xf numFmtId="0" fontId="29" fillId="18" borderId="19" xfId="22" applyFont="1" applyFill="1" applyBorder="1" applyAlignment="1">
      <alignment horizontal="left" vertical="center" wrapText="1"/>
    </xf>
    <xf numFmtId="166" fontId="29" fillId="18" borderId="3" xfId="22" applyNumberFormat="1" applyFont="1" applyFill="1" applyBorder="1" applyAlignment="1">
      <alignment horizontal="center" vertical="center" wrapText="1"/>
    </xf>
    <xf numFmtId="14" fontId="70" fillId="18" borderId="3" xfId="22" applyNumberFormat="1" applyFont="1" applyFill="1" applyBorder="1" applyAlignment="1">
      <alignment horizontal="center" vertical="center" wrapText="1"/>
    </xf>
    <xf numFmtId="0" fontId="29" fillId="18" borderId="19" xfId="22" applyNumberFormat="1" applyFont="1" applyFill="1" applyBorder="1" applyAlignment="1">
      <alignment horizontal="center" vertical="center" wrapText="1"/>
    </xf>
    <xf numFmtId="0" fontId="29" fillId="18" borderId="19" xfId="22" applyFont="1" applyFill="1" applyBorder="1" applyAlignment="1">
      <alignment horizontal="center" vertical="center" wrapText="1"/>
    </xf>
    <xf numFmtId="0" fontId="29" fillId="18" borderId="3" xfId="22" applyNumberFormat="1" applyFont="1" applyFill="1" applyBorder="1" applyAlignment="1">
      <alignment horizontal="center" vertical="center" wrapText="1"/>
    </xf>
    <xf numFmtId="14" fontId="102" fillId="18" borderId="3" xfId="22" applyNumberFormat="1" applyFont="1" applyFill="1" applyBorder="1" applyAlignment="1">
      <alignment horizontal="center" vertical="center" wrapText="1"/>
    </xf>
    <xf numFmtId="4" fontId="50" fillId="23" borderId="0" xfId="0" applyNumberFormat="1" applyFont="1" applyFill="1" applyAlignment="1">
      <alignment horizontal="center" vertical="center" wrapText="1"/>
    </xf>
    <xf numFmtId="2" fontId="5" fillId="22" borderId="0" xfId="22" applyNumberFormat="1" applyFont="1" applyFill="1" applyBorder="1" applyAlignment="1">
      <alignment horizontal="center" vertical="center" wrapText="1"/>
    </xf>
    <xf numFmtId="0" fontId="5" fillId="22" borderId="3" xfId="0" applyFont="1" applyFill="1" applyBorder="1" applyAlignment="1">
      <alignment horizontal="center" vertical="center" wrapText="1"/>
    </xf>
    <xf numFmtId="4" fontId="53" fillId="23" borderId="3" xfId="0" applyNumberFormat="1" applyFont="1" applyFill="1" applyBorder="1" applyAlignment="1">
      <alignment horizontal="center" vertical="center" wrapText="1"/>
    </xf>
    <xf numFmtId="4" fontId="73" fillId="23" borderId="0" xfId="0" applyNumberFormat="1" applyFont="1" applyFill="1" applyAlignment="1">
      <alignment wrapText="1"/>
    </xf>
    <xf numFmtId="4" fontId="77" fillId="23" borderId="3" xfId="0" applyNumberFormat="1" applyFont="1" applyFill="1" applyBorder="1" applyAlignment="1">
      <alignment horizontal="center" vertical="center" wrapText="1"/>
    </xf>
    <xf numFmtId="1" fontId="93" fillId="23" borderId="3" xfId="22" applyNumberFormat="1" applyFont="1" applyFill="1" applyBorder="1" applyAlignment="1">
      <alignment horizontal="center" vertical="center" wrapText="1"/>
    </xf>
    <xf numFmtId="4" fontId="53" fillId="23" borderId="6" xfId="0" applyNumberFormat="1" applyFont="1" applyFill="1" applyBorder="1" applyAlignment="1">
      <alignment horizontal="center" vertical="center" wrapText="1"/>
    </xf>
    <xf numFmtId="0" fontId="41" fillId="0" borderId="3" xfId="0" applyFont="1" applyBorder="1" applyAlignment="1">
      <alignment wrapText="1"/>
    </xf>
    <xf numFmtId="165" fontId="29" fillId="18" borderId="3" xfId="22" applyNumberFormat="1" applyFont="1" applyFill="1" applyBorder="1" applyAlignment="1">
      <alignment horizontal="center" vertical="center" wrapText="1"/>
    </xf>
    <xf numFmtId="166" fontId="29" fillId="18" borderId="8" xfId="22" applyNumberFormat="1" applyFont="1" applyFill="1" applyBorder="1" applyAlignment="1">
      <alignment horizontal="center" vertical="center" wrapText="1"/>
    </xf>
    <xf numFmtId="2" fontId="29" fillId="18" borderId="8" xfId="22" applyNumberFormat="1" applyFont="1" applyFill="1" applyBorder="1" applyAlignment="1">
      <alignment horizontal="center" vertical="center" wrapText="1"/>
    </xf>
    <xf numFmtId="1" fontId="75" fillId="18" borderId="3" xfId="22" applyNumberFormat="1" applyFont="1" applyFill="1" applyBorder="1" applyAlignment="1">
      <alignment horizontal="center" vertical="center" wrapText="1"/>
    </xf>
    <xf numFmtId="1" fontId="75" fillId="22" borderId="3" xfId="22" applyNumberFormat="1" applyFont="1" applyFill="1" applyBorder="1" applyAlignment="1">
      <alignment horizontal="center" vertical="center" wrapText="1"/>
    </xf>
    <xf numFmtId="0" fontId="75" fillId="22" borderId="3" xfId="22" applyFont="1" applyFill="1" applyBorder="1" applyAlignment="1">
      <alignment horizontal="center" vertical="center" wrapText="1"/>
    </xf>
    <xf numFmtId="1" fontId="75" fillId="22" borderId="20" xfId="22" applyNumberFormat="1" applyFont="1" applyFill="1" applyBorder="1" applyAlignment="1">
      <alignment horizontal="center" vertical="center" wrapText="1"/>
    </xf>
    <xf numFmtId="49" fontId="75" fillId="22" borderId="3" xfId="22" applyNumberFormat="1" applyFont="1" applyFill="1" applyBorder="1" applyAlignment="1">
      <alignment horizontal="center" vertical="center" wrapText="1"/>
    </xf>
    <xf numFmtId="14" fontId="75" fillId="22" borderId="3" xfId="22" applyNumberFormat="1" applyFont="1" applyFill="1" applyBorder="1" applyAlignment="1">
      <alignment horizontal="center" vertical="center" wrapText="1"/>
    </xf>
    <xf numFmtId="166" fontId="75" fillId="22" borderId="3" xfId="22" applyNumberFormat="1" applyFont="1" applyFill="1" applyBorder="1" applyAlignment="1">
      <alignment horizontal="center" vertical="center" wrapText="1"/>
    </xf>
    <xf numFmtId="2" fontId="75" fillId="22" borderId="3" xfId="22" applyNumberFormat="1" applyFont="1" applyFill="1" applyBorder="1" applyAlignment="1">
      <alignment horizontal="center" vertical="center" wrapText="1"/>
    </xf>
    <xf numFmtId="164" fontId="75" fillId="22" borderId="3" xfId="32" applyFont="1" applyFill="1" applyBorder="1" applyAlignment="1">
      <alignment vertical="center" wrapText="1"/>
    </xf>
    <xf numFmtId="2" fontId="76" fillId="22" borderId="3" xfId="0" applyNumberFormat="1" applyFont="1" applyFill="1" applyBorder="1" applyAlignment="1">
      <alignment horizontal="center" vertical="center" wrapText="1"/>
    </xf>
    <xf numFmtId="4" fontId="110" fillId="18" borderId="3" xfId="0" applyNumberFormat="1" applyFont="1" applyFill="1" applyBorder="1" applyAlignment="1">
      <alignment horizontal="center" vertical="center" wrapText="1"/>
    </xf>
    <xf numFmtId="4" fontId="77" fillId="22" borderId="3" xfId="0" applyNumberFormat="1" applyFont="1" applyFill="1" applyBorder="1" applyAlignment="1">
      <alignment horizontal="center" vertical="center" wrapText="1"/>
    </xf>
    <xf numFmtId="4" fontId="76" fillId="22" borderId="4" xfId="0" applyNumberFormat="1" applyFont="1" applyFill="1" applyBorder="1" applyAlignment="1">
      <alignment horizontal="center" vertical="center" wrapText="1"/>
    </xf>
    <xf numFmtId="4" fontId="76" fillId="22" borderId="6" xfId="0" applyNumberFormat="1" applyFont="1" applyFill="1" applyBorder="1" applyAlignment="1">
      <alignment horizontal="center" vertical="center" wrapText="1"/>
    </xf>
    <xf numFmtId="168" fontId="75" fillId="22" borderId="3" xfId="22" applyNumberFormat="1" applyFont="1" applyFill="1" applyBorder="1" applyAlignment="1">
      <alignment horizontal="center" vertical="center" wrapText="1"/>
    </xf>
    <xf numFmtId="14" fontId="111" fillId="22" borderId="3" xfId="22" applyNumberFormat="1" applyFont="1" applyFill="1" applyBorder="1" applyAlignment="1">
      <alignment horizontal="center" vertical="center" wrapText="1"/>
    </xf>
    <xf numFmtId="0" fontId="75" fillId="22" borderId="19" xfId="22" applyFont="1" applyFill="1" applyBorder="1" applyAlignment="1">
      <alignment horizontal="left" vertical="center" wrapText="1"/>
    </xf>
    <xf numFmtId="0" fontId="75" fillId="22" borderId="19" xfId="22" applyFont="1" applyFill="1" applyBorder="1" applyAlignment="1">
      <alignment horizontal="center" vertical="center" wrapText="1"/>
    </xf>
    <xf numFmtId="166" fontId="75" fillId="22" borderId="21" xfId="22" applyNumberFormat="1" applyFont="1" applyFill="1" applyBorder="1" applyAlignment="1">
      <alignment horizontal="center" vertical="center" wrapText="1"/>
    </xf>
    <xf numFmtId="2" fontId="75" fillId="22" borderId="21" xfId="22" applyNumberFormat="1" applyFont="1" applyFill="1" applyBorder="1" applyAlignment="1">
      <alignment horizontal="center" vertical="center" wrapText="1"/>
    </xf>
    <xf numFmtId="4" fontId="110" fillId="18" borderId="3" xfId="0" applyNumberFormat="1" applyFont="1" applyFill="1" applyBorder="1" applyAlignment="1">
      <alignment vertical="center" wrapText="1"/>
    </xf>
    <xf numFmtId="1" fontId="75" fillId="23" borderId="3" xfId="22" applyNumberFormat="1" applyFont="1" applyFill="1" applyBorder="1" applyAlignment="1">
      <alignment horizontal="center" vertical="center" wrapText="1"/>
    </xf>
    <xf numFmtId="0" fontId="75" fillId="23" borderId="3" xfId="22" applyFont="1" applyFill="1" applyBorder="1" applyAlignment="1">
      <alignment horizontal="left" vertical="center" wrapText="1"/>
    </xf>
    <xf numFmtId="0" fontId="75" fillId="23" borderId="3" xfId="22" applyFont="1" applyFill="1" applyBorder="1" applyAlignment="1">
      <alignment horizontal="center" vertical="center" wrapText="1"/>
    </xf>
    <xf numFmtId="1" fontId="75" fillId="23" borderId="20" xfId="22" applyNumberFormat="1" applyFont="1" applyFill="1" applyBorder="1" applyAlignment="1">
      <alignment horizontal="center" vertical="center" wrapText="1"/>
    </xf>
    <xf numFmtId="49" fontId="75" fillId="23" borderId="20" xfId="22" applyNumberFormat="1" applyFont="1" applyFill="1" applyBorder="1" applyAlignment="1">
      <alignment horizontal="center" vertical="center" wrapText="1"/>
    </xf>
    <xf numFmtId="49" fontId="75" fillId="23" borderId="3" xfId="22" applyNumberFormat="1" applyFont="1" applyFill="1" applyBorder="1" applyAlignment="1">
      <alignment horizontal="center" vertical="center" wrapText="1"/>
    </xf>
    <xf numFmtId="14" fontId="75" fillId="23" borderId="3" xfId="22" applyNumberFormat="1" applyFont="1" applyFill="1" applyBorder="1" applyAlignment="1">
      <alignment horizontal="center" vertical="center" wrapText="1"/>
    </xf>
    <xf numFmtId="166" fontId="75" fillId="23" borderId="5" xfId="22" applyNumberFormat="1" applyFont="1" applyFill="1" applyBorder="1" applyAlignment="1">
      <alignment horizontal="center" vertical="center" wrapText="1"/>
    </xf>
    <xf numFmtId="2" fontId="75" fillId="23" borderId="8" xfId="22" applyNumberFormat="1" applyFont="1" applyFill="1" applyBorder="1" applyAlignment="1">
      <alignment horizontal="center" vertical="center" wrapText="1"/>
    </xf>
    <xf numFmtId="2" fontId="75" fillId="23" borderId="3" xfId="22" applyNumberFormat="1" applyFont="1" applyFill="1" applyBorder="1" applyAlignment="1">
      <alignment horizontal="center" vertical="center" wrapText="1"/>
    </xf>
    <xf numFmtId="164" fontId="75" fillId="23" borderId="3" xfId="32" applyFont="1" applyFill="1" applyBorder="1" applyAlignment="1">
      <alignment vertical="center" wrapText="1"/>
    </xf>
    <xf numFmtId="2" fontId="76" fillId="23" borderId="3" xfId="0" applyNumberFormat="1" applyFont="1" applyFill="1" applyBorder="1" applyAlignment="1">
      <alignment horizontal="center" vertical="center" wrapText="1"/>
    </xf>
    <xf numFmtId="0" fontId="76" fillId="23" borderId="3" xfId="0" applyFont="1" applyFill="1" applyBorder="1" applyAlignment="1">
      <alignment horizontal="center" vertical="center" wrapText="1"/>
    </xf>
    <xf numFmtId="4" fontId="110" fillId="23" borderId="3" xfId="0" applyNumberFormat="1" applyFont="1" applyFill="1" applyBorder="1" applyAlignment="1">
      <alignment horizontal="center" vertical="center" wrapText="1"/>
    </xf>
    <xf numFmtId="4" fontId="84" fillId="23" borderId="0" xfId="0" applyNumberFormat="1" applyFont="1" applyFill="1"/>
    <xf numFmtId="4" fontId="76" fillId="23" borderId="4" xfId="0" applyNumberFormat="1" applyFont="1" applyFill="1" applyBorder="1" applyAlignment="1">
      <alignment horizontal="center" vertical="center" wrapText="1"/>
    </xf>
    <xf numFmtId="4" fontId="76" fillId="23" borderId="6" xfId="0" applyNumberFormat="1" applyFont="1" applyFill="1" applyBorder="1" applyAlignment="1">
      <alignment horizontal="center" vertical="center" wrapText="1"/>
    </xf>
    <xf numFmtId="168" fontId="75" fillId="23" borderId="3" xfId="22" applyNumberFormat="1" applyFont="1" applyFill="1" applyBorder="1" applyAlignment="1">
      <alignment horizontal="center" vertical="center" wrapText="1"/>
    </xf>
    <xf numFmtId="14" fontId="111" fillId="23" borderId="3" xfId="22" applyNumberFormat="1" applyFont="1" applyFill="1" applyBorder="1" applyAlignment="1">
      <alignment horizontal="center" vertical="center" wrapText="1"/>
    </xf>
    <xf numFmtId="0" fontId="112" fillId="23" borderId="3" xfId="22" applyFont="1" applyFill="1" applyBorder="1" applyAlignment="1">
      <alignment horizontal="center" vertical="center" wrapText="1"/>
    </xf>
    <xf numFmtId="0" fontId="78" fillId="23" borderId="0" xfId="0" applyFont="1" applyFill="1" applyAlignment="1">
      <alignment wrapText="1"/>
    </xf>
    <xf numFmtId="49" fontId="75" fillId="22" borderId="7" xfId="22" applyNumberFormat="1" applyFont="1" applyFill="1" applyBorder="1" applyAlignment="1">
      <alignment horizontal="center" vertical="center" wrapText="1"/>
    </xf>
    <xf numFmtId="2" fontId="75" fillId="22" borderId="6" xfId="22" applyNumberFormat="1" applyFont="1" applyFill="1" applyBorder="1" applyAlignment="1">
      <alignment horizontal="center" vertical="center" wrapText="1"/>
    </xf>
    <xf numFmtId="4" fontId="83" fillId="22" borderId="0" xfId="0" applyNumberFormat="1" applyFont="1" applyFill="1" applyAlignment="1">
      <alignment wrapText="1"/>
    </xf>
    <xf numFmtId="14" fontId="75" fillId="22" borderId="19" xfId="22" applyNumberFormat="1" applyFont="1" applyFill="1" applyBorder="1" applyAlignment="1">
      <alignment horizontal="center" vertical="center" wrapText="1"/>
    </xf>
    <xf numFmtId="0" fontId="29" fillId="20" borderId="19" xfId="22" applyFont="1" applyFill="1" applyBorder="1" applyAlignment="1">
      <alignment horizontal="center" vertical="center" wrapText="1"/>
    </xf>
    <xf numFmtId="166" fontId="29" fillId="20" borderId="3" xfId="22" applyNumberFormat="1" applyFont="1" applyFill="1" applyBorder="1" applyAlignment="1">
      <alignment horizontal="center" vertical="center" wrapText="1"/>
    </xf>
    <xf numFmtId="4" fontId="109" fillId="18" borderId="3" xfId="0" applyNumberFormat="1" applyFont="1" applyFill="1" applyBorder="1" applyAlignment="1">
      <alignment horizontal="center" vertical="center" wrapText="1"/>
    </xf>
    <xf numFmtId="14" fontId="29" fillId="20" borderId="3" xfId="22" applyNumberFormat="1" applyFont="1" applyFill="1" applyBorder="1" applyAlignment="1">
      <alignment horizontal="center" vertical="center" wrapText="1"/>
    </xf>
    <xf numFmtId="166" fontId="29" fillId="0" borderId="3" xfId="22" applyNumberFormat="1" applyFont="1" applyFill="1" applyBorder="1" applyAlignment="1">
      <alignment horizontal="left" vertical="center" wrapText="1"/>
    </xf>
    <xf numFmtId="166" fontId="29" fillId="0" borderId="3" xfId="22" applyNumberFormat="1" applyFont="1" applyFill="1" applyBorder="1" applyAlignment="1">
      <alignment horizontal="center" vertical="center" wrapText="1"/>
    </xf>
    <xf numFmtId="1" fontId="29" fillId="0" borderId="3" xfId="22" applyNumberFormat="1" applyFont="1" applyFill="1" applyBorder="1" applyAlignment="1">
      <alignment horizontal="center" vertical="center" wrapText="1"/>
    </xf>
    <xf numFmtId="1" fontId="29" fillId="0" borderId="20" xfId="22" applyNumberFormat="1" applyFont="1" applyFill="1" applyBorder="1" applyAlignment="1">
      <alignment horizontal="center" vertical="center" wrapText="1"/>
    </xf>
    <xf numFmtId="0" fontId="29" fillId="0" borderId="3" xfId="22" applyFont="1" applyBorder="1" applyAlignment="1">
      <alignment horizontal="center" vertical="center" wrapText="1"/>
    </xf>
    <xf numFmtId="49" fontId="29" fillId="0" borderId="3" xfId="22" applyNumberFormat="1" applyFont="1" applyFill="1" applyBorder="1" applyAlignment="1">
      <alignment horizontal="center" vertical="center" wrapText="1"/>
    </xf>
    <xf numFmtId="49" fontId="29" fillId="0" borderId="6" xfId="22" applyNumberFormat="1" applyFont="1" applyFill="1" applyBorder="1" applyAlignment="1">
      <alignment horizontal="center" vertical="center" wrapText="1"/>
    </xf>
    <xf numFmtId="14" fontId="29" fillId="0" borderId="3" xfId="22" applyNumberFormat="1" applyFont="1" applyFill="1" applyBorder="1" applyAlignment="1">
      <alignment horizontal="center" vertical="center" wrapText="1"/>
    </xf>
    <xf numFmtId="0" fontId="29" fillId="0" borderId="3" xfId="22" applyFont="1" applyFill="1" applyBorder="1" applyAlignment="1">
      <alignment horizontal="center" vertical="center" wrapText="1"/>
    </xf>
    <xf numFmtId="166" fontId="29" fillId="0" borderId="9" xfId="22" applyNumberFormat="1" applyFont="1" applyFill="1" applyBorder="1" applyAlignment="1">
      <alignment horizontal="center" vertical="center" wrapText="1"/>
    </xf>
    <xf numFmtId="2" fontId="29" fillId="0" borderId="9" xfId="22" applyNumberFormat="1" applyFont="1" applyFill="1" applyBorder="1" applyAlignment="1">
      <alignment horizontal="center" vertical="center" wrapText="1"/>
    </xf>
    <xf numFmtId="164" fontId="29" fillId="0" borderId="3" xfId="32" applyFont="1" applyFill="1" applyBorder="1" applyAlignment="1">
      <alignment vertical="center" wrapText="1"/>
    </xf>
    <xf numFmtId="14" fontId="102" fillId="0" borderId="3" xfId="22" applyNumberFormat="1" applyFont="1" applyBorder="1" applyAlignment="1">
      <alignment horizontal="center" vertical="center" wrapText="1"/>
    </xf>
    <xf numFmtId="0" fontId="29" fillId="0" borderId="24" xfId="22" applyNumberFormat="1" applyFont="1" applyFill="1" applyBorder="1" applyAlignment="1">
      <alignment horizontal="center" vertical="center" wrapText="1"/>
    </xf>
    <xf numFmtId="49" fontId="29" fillId="0" borderId="5" xfId="22" applyNumberFormat="1" applyFont="1" applyFill="1" applyBorder="1" applyAlignment="1">
      <alignment horizontal="center" vertical="center" wrapText="1"/>
    </xf>
    <xf numFmtId="0" fontId="29" fillId="18" borderId="3" xfId="2" applyFont="1" applyFill="1" applyBorder="1" applyAlignment="1">
      <alignment horizontal="center" vertical="center" wrapText="1"/>
    </xf>
    <xf numFmtId="49" fontId="29" fillId="18" borderId="3" xfId="2" applyNumberFormat="1" applyFont="1" applyFill="1" applyBorder="1" applyAlignment="1">
      <alignment horizontal="center" vertical="center" wrapText="1"/>
    </xf>
    <xf numFmtId="49" fontId="90" fillId="18" borderId="0" xfId="0" applyNumberFormat="1" applyFont="1" applyFill="1" applyAlignment="1">
      <alignment wrapText="1"/>
    </xf>
    <xf numFmtId="0" fontId="75" fillId="18" borderId="3" xfId="22" applyFont="1" applyFill="1" applyBorder="1" applyAlignment="1">
      <alignment vertical="center" wrapText="1"/>
    </xf>
    <xf numFmtId="0" fontId="75" fillId="18" borderId="3" xfId="22" applyFont="1" applyFill="1" applyBorder="1" applyAlignment="1">
      <alignment horizontal="center" vertical="center" wrapText="1"/>
    </xf>
    <xf numFmtId="0" fontId="75" fillId="18" borderId="19" xfId="22" applyFont="1" applyFill="1" applyBorder="1" applyAlignment="1">
      <alignment horizontal="center" vertical="center" wrapText="1"/>
    </xf>
    <xf numFmtId="1" fontId="75" fillId="18" borderId="20" xfId="22" applyNumberFormat="1" applyFont="1" applyFill="1" applyBorder="1" applyAlignment="1">
      <alignment horizontal="center" vertical="center" wrapText="1"/>
    </xf>
    <xf numFmtId="49" fontId="75" fillId="18" borderId="20" xfId="22" applyNumberFormat="1" applyFont="1" applyFill="1" applyBorder="1" applyAlignment="1">
      <alignment horizontal="center" vertical="center" wrapText="1"/>
    </xf>
    <xf numFmtId="49" fontId="75" fillId="18" borderId="19" xfId="22" applyNumberFormat="1" applyFont="1" applyFill="1" applyBorder="1" applyAlignment="1">
      <alignment horizontal="center" vertical="center" wrapText="1"/>
    </xf>
    <xf numFmtId="14" fontId="75" fillId="18" borderId="19" xfId="22" applyNumberFormat="1" applyFont="1" applyFill="1" applyBorder="1" applyAlignment="1">
      <alignment horizontal="center" vertical="center" wrapText="1"/>
    </xf>
    <xf numFmtId="166" fontId="75" fillId="18" borderId="21" xfId="22" applyNumberFormat="1" applyFont="1" applyFill="1" applyBorder="1" applyAlignment="1">
      <alignment horizontal="center" vertical="center" wrapText="1"/>
    </xf>
    <xf numFmtId="2" fontId="75" fillId="18" borderId="21" xfId="22" applyNumberFormat="1" applyFont="1" applyFill="1" applyBorder="1" applyAlignment="1">
      <alignment horizontal="center" vertical="center" wrapText="1"/>
    </xf>
    <xf numFmtId="2" fontId="75" fillId="18" borderId="19" xfId="22" applyNumberFormat="1" applyFont="1" applyFill="1" applyBorder="1" applyAlignment="1">
      <alignment horizontal="center" vertical="center" wrapText="1"/>
    </xf>
    <xf numFmtId="164" fontId="75" fillId="18" borderId="19" xfId="32" applyFont="1" applyFill="1" applyBorder="1" applyAlignment="1">
      <alignment vertical="center" wrapText="1"/>
    </xf>
    <xf numFmtId="2" fontId="76" fillId="18" borderId="19" xfId="0" applyNumberFormat="1" applyFont="1" applyFill="1" applyBorder="1" applyAlignment="1">
      <alignment horizontal="center" vertical="center" wrapText="1"/>
    </xf>
    <xf numFmtId="4" fontId="114" fillId="18" borderId="19" xfId="0" applyNumberFormat="1" applyFont="1" applyFill="1" applyBorder="1" applyAlignment="1">
      <alignment horizontal="center" vertical="center" wrapText="1"/>
    </xf>
    <xf numFmtId="4" fontId="76" fillId="18" borderId="19" xfId="0" applyNumberFormat="1" applyFont="1" applyFill="1" applyBorder="1" applyAlignment="1">
      <alignment horizontal="center" vertical="center" wrapText="1"/>
    </xf>
    <xf numFmtId="4" fontId="76" fillId="18" borderId="4" xfId="0" applyNumberFormat="1" applyFont="1" applyFill="1" applyBorder="1" applyAlignment="1">
      <alignment horizontal="center" vertical="center" wrapText="1"/>
    </xf>
    <xf numFmtId="4" fontId="76" fillId="18" borderId="20" xfId="0" applyNumberFormat="1" applyFont="1" applyFill="1" applyBorder="1" applyAlignment="1">
      <alignment horizontal="center" vertical="center" wrapText="1"/>
    </xf>
    <xf numFmtId="168" fontId="75" fillId="18" borderId="19" xfId="22" applyNumberFormat="1" applyFont="1" applyFill="1" applyBorder="1" applyAlignment="1">
      <alignment horizontal="center" vertical="center" wrapText="1"/>
    </xf>
    <xf numFmtId="14" fontId="111" fillId="18" borderId="19" xfId="22" applyNumberFormat="1" applyFont="1" applyFill="1" applyBorder="1" applyAlignment="1">
      <alignment horizontal="center" vertical="center" wrapText="1"/>
    </xf>
    <xf numFmtId="0" fontId="75" fillId="18" borderId="19" xfId="22" applyFont="1" applyFill="1" applyBorder="1" applyAlignment="1">
      <alignment horizontal="left" vertical="center" wrapText="1"/>
    </xf>
    <xf numFmtId="0" fontId="75" fillId="18" borderId="20" xfId="22" applyFont="1" applyFill="1" applyBorder="1" applyAlignment="1">
      <alignment horizontal="center" vertical="center" wrapText="1"/>
    </xf>
    <xf numFmtId="14" fontId="75" fillId="18" borderId="20" xfId="22" applyNumberFormat="1" applyFont="1" applyFill="1" applyBorder="1" applyAlignment="1">
      <alignment horizontal="center" vertical="center" wrapText="1"/>
    </xf>
    <xf numFmtId="166" fontId="75" fillId="18" borderId="3" xfId="22" applyNumberFormat="1" applyFont="1" applyFill="1" applyBorder="1" applyAlignment="1">
      <alignment horizontal="center" vertical="center" wrapText="1"/>
    </xf>
    <xf numFmtId="2" fontId="75" fillId="18" borderId="3" xfId="22" applyNumberFormat="1" applyFont="1" applyFill="1" applyBorder="1" applyAlignment="1">
      <alignment horizontal="center" vertical="center" wrapText="1"/>
    </xf>
    <xf numFmtId="164" fontId="75" fillId="18" borderId="3" xfId="32" applyFont="1" applyFill="1" applyBorder="1" applyAlignment="1">
      <alignment vertical="center" wrapText="1"/>
    </xf>
    <xf numFmtId="2" fontId="76" fillId="18" borderId="3" xfId="0" applyNumberFormat="1" applyFont="1" applyFill="1" applyBorder="1" applyAlignment="1">
      <alignment horizontal="center" vertical="center" wrapText="1"/>
    </xf>
    <xf numFmtId="4" fontId="77" fillId="18" borderId="3" xfId="0" applyNumberFormat="1" applyFont="1" applyFill="1" applyBorder="1" applyAlignment="1">
      <alignment horizontal="center" vertical="center" wrapText="1"/>
    </xf>
    <xf numFmtId="4" fontId="76" fillId="18" borderId="6" xfId="0" applyNumberFormat="1" applyFont="1" applyFill="1" applyBorder="1" applyAlignment="1">
      <alignment horizontal="center" vertical="center" wrapText="1"/>
    </xf>
    <xf numFmtId="168" fontId="75" fillId="18" borderId="3" xfId="22" applyNumberFormat="1" applyFont="1" applyFill="1" applyBorder="1" applyAlignment="1">
      <alignment horizontal="center" vertical="center" wrapText="1"/>
    </xf>
    <xf numFmtId="14" fontId="111" fillId="18" borderId="3" xfId="22" applyNumberFormat="1" applyFont="1" applyFill="1" applyBorder="1" applyAlignment="1">
      <alignment horizontal="center" vertical="center" wrapText="1"/>
    </xf>
    <xf numFmtId="0" fontId="75" fillId="18" borderId="19" xfId="22" applyNumberFormat="1" applyFont="1" applyFill="1" applyBorder="1" applyAlignment="1">
      <alignment horizontal="center" vertical="center" wrapText="1"/>
    </xf>
    <xf numFmtId="49" fontId="75" fillId="18" borderId="3" xfId="22" applyNumberFormat="1" applyFont="1" applyFill="1" applyBorder="1" applyAlignment="1">
      <alignment horizontal="center" vertical="center" wrapText="1"/>
    </xf>
    <xf numFmtId="0" fontId="75" fillId="18" borderId="3" xfId="22" applyFont="1" applyFill="1" applyBorder="1" applyAlignment="1">
      <alignment horizontal="left" vertical="center" wrapText="1"/>
    </xf>
    <xf numFmtId="14" fontId="75" fillId="18" borderId="3" xfId="22" applyNumberFormat="1" applyFont="1" applyFill="1" applyBorder="1" applyAlignment="1">
      <alignment horizontal="center" vertical="center" wrapText="1"/>
    </xf>
    <xf numFmtId="2" fontId="77" fillId="18" borderId="3" xfId="0" applyNumberFormat="1" applyFont="1" applyFill="1" applyBorder="1" applyAlignment="1">
      <alignment horizontal="center" vertical="center" wrapText="1"/>
    </xf>
    <xf numFmtId="0" fontId="75" fillId="18" borderId="3" xfId="22" applyNumberFormat="1" applyFont="1" applyFill="1" applyBorder="1" applyAlignment="1">
      <alignment horizontal="center" vertical="center" wrapText="1"/>
    </xf>
    <xf numFmtId="1" fontId="75" fillId="18" borderId="3" xfId="22" applyNumberFormat="1" applyFont="1" applyFill="1" applyBorder="1" applyAlignment="1">
      <alignment vertical="center" wrapText="1"/>
    </xf>
    <xf numFmtId="0" fontId="75" fillId="18" borderId="19" xfId="22" applyFont="1" applyFill="1" applyBorder="1" applyAlignment="1">
      <alignment vertical="center" wrapText="1"/>
    </xf>
    <xf numFmtId="0" fontId="75" fillId="18" borderId="19" xfId="2" applyFont="1" applyFill="1" applyBorder="1" applyAlignment="1">
      <alignment vertical="center" wrapText="1"/>
    </xf>
    <xf numFmtId="1" fontId="75" fillId="18" borderId="20" xfId="22" applyNumberFormat="1" applyFont="1" applyFill="1" applyBorder="1" applyAlignment="1">
      <alignment vertical="center" wrapText="1"/>
    </xf>
    <xf numFmtId="49" fontId="75" fillId="18" borderId="20" xfId="22" applyNumberFormat="1" applyFont="1" applyFill="1" applyBorder="1" applyAlignment="1">
      <alignment vertical="center" wrapText="1"/>
    </xf>
    <xf numFmtId="49" fontId="75" fillId="18" borderId="3" xfId="22" applyNumberFormat="1" applyFont="1" applyFill="1" applyBorder="1" applyAlignment="1">
      <alignment vertical="center" wrapText="1"/>
    </xf>
    <xf numFmtId="14" fontId="75" fillId="18" borderId="3" xfId="22" applyNumberFormat="1" applyFont="1" applyFill="1" applyBorder="1" applyAlignment="1">
      <alignment vertical="center" wrapText="1"/>
    </xf>
    <xf numFmtId="166" fontId="75" fillId="18" borderId="3" xfId="22" applyNumberFormat="1" applyFont="1" applyFill="1" applyBorder="1" applyAlignment="1">
      <alignment vertical="center" wrapText="1"/>
    </xf>
    <xf numFmtId="2" fontId="75" fillId="18" borderId="3" xfId="22" applyNumberFormat="1" applyFont="1" applyFill="1" applyBorder="1" applyAlignment="1">
      <alignment vertical="center" wrapText="1"/>
    </xf>
    <xf numFmtId="2" fontId="76" fillId="18" borderId="3" xfId="0" applyNumberFormat="1" applyFont="1" applyFill="1" applyBorder="1" applyAlignment="1">
      <alignment vertical="center" wrapText="1"/>
    </xf>
    <xf numFmtId="4" fontId="77" fillId="18" borderId="3" xfId="0" applyNumberFormat="1" applyFont="1" applyFill="1" applyBorder="1" applyAlignment="1">
      <alignment vertical="center" wrapText="1"/>
    </xf>
    <xf numFmtId="4" fontId="76" fillId="18" borderId="3" xfId="0" applyNumberFormat="1" applyFont="1" applyFill="1" applyBorder="1" applyAlignment="1">
      <alignment vertical="center" wrapText="1"/>
    </xf>
    <xf numFmtId="4" fontId="76" fillId="18" borderId="4" xfId="0" applyNumberFormat="1" applyFont="1" applyFill="1" applyBorder="1" applyAlignment="1">
      <alignment vertical="center" wrapText="1"/>
    </xf>
    <xf numFmtId="4" fontId="76" fillId="18" borderId="6" xfId="0" applyNumberFormat="1" applyFont="1" applyFill="1" applyBorder="1" applyAlignment="1">
      <alignment vertical="center" wrapText="1"/>
    </xf>
    <xf numFmtId="2" fontId="115" fillId="18" borderId="3" xfId="0" applyNumberFormat="1" applyFont="1" applyFill="1" applyBorder="1" applyAlignment="1">
      <alignment vertical="center" wrapText="1"/>
    </xf>
    <xf numFmtId="14" fontId="111" fillId="18" borderId="3" xfId="22" applyNumberFormat="1" applyFont="1" applyFill="1" applyBorder="1" applyAlignment="1">
      <alignment vertical="center" wrapText="1"/>
    </xf>
    <xf numFmtId="0" fontId="75" fillId="18" borderId="19" xfId="22" applyNumberFormat="1" applyFont="1" applyFill="1" applyBorder="1" applyAlignment="1">
      <alignment vertical="center" wrapText="1"/>
    </xf>
    <xf numFmtId="0" fontId="110" fillId="18" borderId="0" xfId="0" applyFont="1" applyFill="1" applyBorder="1" applyAlignment="1">
      <alignment vertical="center" wrapText="1"/>
    </xf>
    <xf numFmtId="0" fontId="75" fillId="22" borderId="0" xfId="22" applyFont="1" applyFill="1" applyBorder="1" applyAlignment="1">
      <alignment vertical="center" wrapText="1"/>
    </xf>
    <xf numFmtId="0" fontId="75" fillId="22" borderId="23" xfId="22" applyFont="1" applyFill="1" applyBorder="1" applyAlignment="1">
      <alignment horizontal="center" vertical="center" wrapText="1"/>
    </xf>
    <xf numFmtId="49" fontId="75" fillId="22" borderId="20" xfId="22" applyNumberFormat="1" applyFont="1" applyFill="1" applyBorder="1" applyAlignment="1">
      <alignment horizontal="center" vertical="center" wrapText="1"/>
    </xf>
    <xf numFmtId="49" fontId="75" fillId="22" borderId="19" xfId="22" applyNumberFormat="1" applyFont="1" applyFill="1" applyBorder="1" applyAlignment="1">
      <alignment horizontal="center" vertical="center" wrapText="1"/>
    </xf>
    <xf numFmtId="2" fontId="75" fillId="22" borderId="19" xfId="22" applyNumberFormat="1" applyFont="1" applyFill="1" applyBorder="1" applyAlignment="1">
      <alignment horizontal="center" vertical="center" wrapText="1"/>
    </xf>
    <xf numFmtId="164" fontId="75" fillId="22" borderId="19" xfId="32" applyFont="1" applyFill="1" applyBorder="1" applyAlignment="1">
      <alignment vertical="center" wrapText="1"/>
    </xf>
    <xf numFmtId="2" fontId="76" fillId="22" borderId="19" xfId="0" applyNumberFormat="1" applyFont="1" applyFill="1" applyBorder="1" applyAlignment="1">
      <alignment horizontal="center" vertical="center" wrapText="1"/>
    </xf>
    <xf numFmtId="2" fontId="76" fillId="0" borderId="19" xfId="0" applyNumberFormat="1" applyFont="1" applyBorder="1" applyAlignment="1">
      <alignment horizontal="center" vertical="center" wrapText="1"/>
    </xf>
    <xf numFmtId="4" fontId="76" fillId="0" borderId="19" xfId="0" applyNumberFormat="1" applyFont="1" applyBorder="1" applyAlignment="1">
      <alignment horizontal="center" vertical="center" wrapText="1"/>
    </xf>
    <xf numFmtId="4" fontId="76" fillId="0" borderId="4" xfId="0" applyNumberFormat="1" applyFont="1" applyBorder="1" applyAlignment="1">
      <alignment horizontal="center" vertical="center" wrapText="1"/>
    </xf>
    <xf numFmtId="4" fontId="76" fillId="0" borderId="20" xfId="0" applyNumberFormat="1" applyFont="1" applyBorder="1" applyAlignment="1">
      <alignment horizontal="center" vertical="center" wrapText="1"/>
    </xf>
    <xf numFmtId="168" fontId="75" fillId="22" borderId="19" xfId="22" applyNumberFormat="1" applyFont="1" applyFill="1" applyBorder="1" applyAlignment="1">
      <alignment horizontal="center" vertical="center" wrapText="1"/>
    </xf>
    <xf numFmtId="14" fontId="111" fillId="22" borderId="19" xfId="22" applyNumberFormat="1" applyFont="1" applyFill="1" applyBorder="1" applyAlignment="1">
      <alignment horizontal="center" vertical="center" wrapText="1"/>
    </xf>
    <xf numFmtId="4" fontId="67" fillId="22" borderId="6" xfId="0" applyNumberFormat="1" applyFont="1" applyFill="1" applyBorder="1" applyAlignment="1">
      <alignment horizontal="center" vertical="center" wrapText="1"/>
    </xf>
    <xf numFmtId="4" fontId="48" fillId="0" borderId="3" xfId="0" applyNumberFormat="1" applyFon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 vertical="center" wrapText="1"/>
    </xf>
    <xf numFmtId="4" fontId="55" fillId="18" borderId="3" xfId="0" applyNumberFormat="1" applyFont="1" applyFill="1" applyBorder="1" applyAlignment="1">
      <alignment horizontal="center" vertical="center" wrapText="1"/>
    </xf>
    <xf numFmtId="2" fontId="117" fillId="0" borderId="3" xfId="0" applyNumberFormat="1" applyFont="1" applyBorder="1" applyAlignment="1">
      <alignment horizontal="center" vertical="center" textRotation="90" wrapText="1"/>
    </xf>
    <xf numFmtId="4" fontId="47" fillId="22" borderId="0" xfId="0" applyNumberFormat="1" applyFont="1" applyFill="1" applyAlignment="1">
      <alignment wrapText="1"/>
    </xf>
    <xf numFmtId="4" fontId="113" fillId="0" borderId="0" xfId="0" applyNumberFormat="1" applyFont="1" applyAlignment="1">
      <alignment vertical="center"/>
    </xf>
    <xf numFmtId="4" fontId="52" fillId="0" borderId="19" xfId="0" applyNumberFormat="1" applyFont="1" applyBorder="1" applyAlignment="1">
      <alignment horizontal="center" vertical="center" wrapText="1"/>
    </xf>
    <xf numFmtId="4" fontId="52" fillId="18" borderId="3" xfId="0" applyNumberFormat="1" applyFont="1" applyFill="1" applyBorder="1" applyAlignment="1">
      <alignment vertical="center" wrapText="1"/>
    </xf>
    <xf numFmtId="4" fontId="52" fillId="18" borderId="19" xfId="0" applyNumberFormat="1" applyFont="1" applyFill="1" applyBorder="1" applyAlignment="1">
      <alignment horizontal="center" vertical="center" wrapText="1"/>
    </xf>
    <xf numFmtId="2" fontId="76" fillId="0" borderId="3" xfId="0" applyNumberFormat="1" applyFont="1" applyBorder="1" applyAlignment="1">
      <alignment horizontal="center" vertical="center" wrapText="1"/>
    </xf>
    <xf numFmtId="4" fontId="76" fillId="0" borderId="6" xfId="0" applyNumberFormat="1" applyFont="1" applyBorder="1" applyAlignment="1">
      <alignment horizontal="center" vertical="center" wrapText="1"/>
    </xf>
    <xf numFmtId="0" fontId="0" fillId="0" borderId="0" xfId="0" applyAlignment="1"/>
    <xf numFmtId="0" fontId="118" fillId="0" borderId="0" xfId="0" applyFont="1" applyAlignment="1"/>
    <xf numFmtId="0" fontId="75" fillId="0" borderId="19" xfId="22" applyFont="1" applyFill="1" applyBorder="1" applyAlignment="1">
      <alignment horizontal="left" vertical="center" wrapText="1"/>
    </xf>
    <xf numFmtId="0" fontId="75" fillId="0" borderId="19" xfId="22" applyFont="1" applyFill="1" applyBorder="1" applyAlignment="1">
      <alignment horizontal="center" vertical="center" wrapText="1"/>
    </xf>
    <xf numFmtId="0" fontId="75" fillId="0" borderId="3" xfId="22" applyFont="1" applyFill="1" applyBorder="1" applyAlignment="1">
      <alignment horizontal="center" vertical="center" wrapText="1"/>
    </xf>
    <xf numFmtId="1" fontId="75" fillId="0" borderId="20" xfId="22" applyNumberFormat="1" applyFont="1" applyFill="1" applyBorder="1" applyAlignment="1">
      <alignment horizontal="center" vertical="center" wrapText="1"/>
    </xf>
    <xf numFmtId="49" fontId="75" fillId="0" borderId="20" xfId="22" applyNumberFormat="1" applyFont="1" applyFill="1" applyBorder="1" applyAlignment="1">
      <alignment horizontal="center" vertical="center" wrapText="1"/>
    </xf>
    <xf numFmtId="14" fontId="75" fillId="0" borderId="20" xfId="22" applyNumberFormat="1" applyFont="1" applyFill="1" applyBorder="1" applyAlignment="1">
      <alignment horizontal="center" vertical="center" wrapText="1"/>
    </xf>
    <xf numFmtId="0" fontId="75" fillId="0" borderId="20" xfId="22" applyFont="1" applyFill="1" applyBorder="1" applyAlignment="1">
      <alignment horizontal="center" vertical="center" wrapText="1"/>
    </xf>
    <xf numFmtId="166" fontId="75" fillId="0" borderId="19" xfId="22" applyNumberFormat="1" applyFont="1" applyFill="1" applyBorder="1" applyAlignment="1">
      <alignment horizontal="center" vertical="center" wrapText="1"/>
    </xf>
    <xf numFmtId="2" fontId="119" fillId="0" borderId="19" xfId="22" applyNumberFormat="1" applyFont="1" applyFill="1" applyBorder="1" applyAlignment="1">
      <alignment horizontal="center" vertical="center" wrapText="1"/>
    </xf>
    <xf numFmtId="2" fontId="119" fillId="18" borderId="3" xfId="22" applyNumberFormat="1" applyFont="1" applyFill="1" applyBorder="1" applyAlignment="1">
      <alignment horizontal="center" vertical="center" wrapText="1"/>
    </xf>
    <xf numFmtId="2" fontId="75" fillId="0" borderId="3" xfId="22" applyNumberFormat="1" applyFont="1" applyFill="1" applyBorder="1" applyAlignment="1">
      <alignment horizontal="center" vertical="center" wrapText="1"/>
    </xf>
    <xf numFmtId="164" fontId="75" fillId="0" borderId="3" xfId="32" applyFont="1" applyFill="1" applyBorder="1" applyAlignment="1">
      <alignment vertical="center" wrapText="1"/>
    </xf>
    <xf numFmtId="2" fontId="75" fillId="17" borderId="3" xfId="22" applyNumberFormat="1" applyFont="1" applyFill="1" applyBorder="1" applyAlignment="1">
      <alignment horizontal="center" vertical="center" wrapText="1"/>
    </xf>
    <xf numFmtId="168" fontId="75" fillId="0" borderId="3" xfId="22" applyNumberFormat="1" applyFont="1" applyFill="1" applyBorder="1" applyAlignment="1">
      <alignment horizontal="center" vertical="center" wrapText="1"/>
    </xf>
    <xf numFmtId="14" fontId="111" fillId="0" borderId="3" xfId="22" applyNumberFormat="1" applyFont="1" applyFill="1" applyBorder="1" applyAlignment="1">
      <alignment horizontal="center" vertical="center" wrapText="1"/>
    </xf>
    <xf numFmtId="0" fontId="75" fillId="0" borderId="19" xfId="22" applyNumberFormat="1" applyFont="1" applyFill="1" applyBorder="1" applyAlignment="1">
      <alignment horizontal="center" vertical="center" wrapText="1"/>
    </xf>
    <xf numFmtId="49" fontId="75" fillId="0" borderId="3" xfId="22" applyNumberFormat="1" applyFont="1" applyFill="1" applyBorder="1" applyAlignment="1">
      <alignment horizontal="center" vertical="center" wrapText="1"/>
    </xf>
    <xf numFmtId="0" fontId="78" fillId="22" borderId="0" xfId="0" applyFont="1" applyFill="1" applyAlignment="1">
      <alignment wrapText="1"/>
    </xf>
    <xf numFmtId="0" fontId="120" fillId="0" borderId="0" xfId="0" applyFont="1" applyAlignment="1"/>
    <xf numFmtId="4" fontId="83" fillId="18" borderId="0" xfId="0" applyNumberFormat="1" applyFont="1" applyFill="1" applyAlignment="1">
      <alignment vertical="center" wrapText="1"/>
    </xf>
    <xf numFmtId="4" fontId="78" fillId="18" borderId="3" xfId="0" applyNumberFormat="1" applyFont="1" applyFill="1" applyBorder="1"/>
    <xf numFmtId="0" fontId="75" fillId="18" borderId="20" xfId="22" applyNumberFormat="1" applyFont="1" applyFill="1" applyBorder="1" applyAlignment="1">
      <alignment horizontal="center" vertical="center" wrapText="1"/>
    </xf>
    <xf numFmtId="2" fontId="51" fillId="18" borderId="3" xfId="0" applyNumberFormat="1" applyFont="1" applyFill="1" applyBorder="1" applyAlignment="1">
      <alignment horizontal="center" vertical="center" wrapText="1"/>
    </xf>
    <xf numFmtId="0" fontId="29" fillId="18" borderId="19" xfId="2" applyFont="1" applyFill="1" applyBorder="1" applyAlignment="1">
      <alignment horizontal="center" vertical="center" wrapText="1"/>
    </xf>
    <xf numFmtId="0" fontId="29" fillId="23" borderId="3" xfId="22" applyFont="1" applyFill="1" applyBorder="1" applyAlignment="1">
      <alignment horizontal="center" vertical="center" wrapText="1"/>
    </xf>
    <xf numFmtId="164" fontId="29" fillId="23" borderId="3" xfId="32" applyFont="1" applyFill="1" applyBorder="1" applyAlignment="1">
      <alignment vertical="center" wrapText="1"/>
    </xf>
    <xf numFmtId="2" fontId="52" fillId="23" borderId="3" xfId="0" applyNumberFormat="1" applyFont="1" applyFill="1" applyBorder="1" applyAlignment="1">
      <alignment horizontal="center" vertical="center" wrapText="1"/>
    </xf>
    <xf numFmtId="49" fontId="29" fillId="23" borderId="3" xfId="22" applyNumberFormat="1" applyFont="1" applyFill="1" applyBorder="1" applyAlignment="1">
      <alignment horizontal="center" vertical="center" wrapText="1"/>
    </xf>
    <xf numFmtId="4" fontId="64" fillId="0" borderId="3" xfId="0" applyNumberFormat="1" applyFont="1" applyBorder="1" applyAlignment="1">
      <alignment vertical="center"/>
    </xf>
    <xf numFmtId="0" fontId="29" fillId="20" borderId="3" xfId="22" applyFont="1" applyFill="1" applyBorder="1" applyAlignment="1">
      <alignment horizontal="left" vertical="center" wrapText="1"/>
    </xf>
    <xf numFmtId="166" fontId="29" fillId="23" borderId="19" xfId="22" applyNumberFormat="1" applyFont="1" applyFill="1" applyBorder="1" applyAlignment="1">
      <alignment horizontal="center" vertical="center" wrapText="1"/>
    </xf>
    <xf numFmtId="14" fontId="29" fillId="23" borderId="3" xfId="22" applyNumberFormat="1" applyFont="1" applyFill="1" applyBorder="1" applyAlignment="1">
      <alignment horizontal="center" vertical="center" wrapText="1"/>
    </xf>
    <xf numFmtId="14" fontId="70" fillId="0" borderId="3" xfId="22" applyNumberFormat="1" applyFont="1" applyFill="1" applyBorder="1" applyAlignment="1">
      <alignment horizontal="center" vertical="center" wrapText="1"/>
    </xf>
    <xf numFmtId="0" fontId="75" fillId="23" borderId="19" xfId="22" applyFont="1" applyFill="1" applyBorder="1" applyAlignment="1">
      <alignment horizontal="left" vertical="center" wrapText="1"/>
    </xf>
    <xf numFmtId="0" fontId="75" fillId="23" borderId="19" xfId="22" applyFont="1" applyFill="1" applyBorder="1" applyAlignment="1">
      <alignment horizontal="center" vertical="center" wrapText="1"/>
    </xf>
    <xf numFmtId="0" fontId="75" fillId="23" borderId="20" xfId="22" applyFont="1" applyFill="1" applyBorder="1" applyAlignment="1">
      <alignment horizontal="center" vertical="center" wrapText="1"/>
    </xf>
    <xf numFmtId="14" fontId="75" fillId="23" borderId="20" xfId="22" applyNumberFormat="1" applyFont="1" applyFill="1" applyBorder="1" applyAlignment="1">
      <alignment horizontal="center" vertical="center" wrapText="1"/>
    </xf>
    <xf numFmtId="166" fontId="75" fillId="23" borderId="3" xfId="22" applyNumberFormat="1" applyFont="1" applyFill="1" applyBorder="1" applyAlignment="1">
      <alignment horizontal="center" vertical="center" wrapText="1"/>
    </xf>
    <xf numFmtId="0" fontId="75" fillId="23" borderId="19" xfId="22" applyNumberFormat="1" applyFont="1" applyFill="1" applyBorder="1" applyAlignment="1">
      <alignment horizontal="center" vertical="center" wrapText="1"/>
    </xf>
    <xf numFmtId="49" fontId="5" fillId="22" borderId="0" xfId="22" applyNumberFormat="1" applyFont="1" applyFill="1" applyAlignment="1">
      <alignment vertical="center" wrapText="1"/>
    </xf>
    <xf numFmtId="168" fontId="5" fillId="22" borderId="4" xfId="22" applyNumberFormat="1" applyFont="1" applyFill="1" applyBorder="1" applyAlignment="1">
      <alignment horizontal="center" vertical="center" wrapText="1"/>
    </xf>
    <xf numFmtId="1" fontId="29" fillId="23" borderId="20" xfId="22" applyNumberFormat="1" applyFont="1" applyFill="1" applyBorder="1" applyAlignment="1">
      <alignment horizontal="center" vertical="center" wrapText="1"/>
    </xf>
    <xf numFmtId="49" fontId="29" fillId="23" borderId="20" xfId="22" applyNumberFormat="1" applyFont="1" applyFill="1" applyBorder="1" applyAlignment="1">
      <alignment horizontal="center" vertical="center" wrapText="1"/>
    </xf>
    <xf numFmtId="14" fontId="75" fillId="18" borderId="6" xfId="22" applyNumberFormat="1" applyFont="1" applyFill="1" applyBorder="1" applyAlignment="1">
      <alignment horizontal="center" vertical="center" wrapText="1"/>
    </xf>
    <xf numFmtId="49" fontId="75" fillId="18" borderId="6" xfId="22" applyNumberFormat="1" applyFont="1" applyFill="1" applyBorder="1" applyAlignment="1">
      <alignment horizontal="center" vertical="center" wrapText="1"/>
    </xf>
    <xf numFmtId="165" fontId="75" fillId="18" borderId="3" xfId="22" applyNumberFormat="1" applyFont="1" applyFill="1" applyBorder="1" applyAlignment="1">
      <alignment horizontal="center" vertical="center" wrapText="1"/>
    </xf>
    <xf numFmtId="166" fontId="75" fillId="18" borderId="5" xfId="22" applyNumberFormat="1" applyFont="1" applyFill="1" applyBorder="1" applyAlignment="1">
      <alignment horizontal="center" vertical="center" wrapText="1"/>
    </xf>
    <xf numFmtId="2" fontId="75" fillId="18" borderId="5" xfId="22" applyNumberFormat="1" applyFont="1" applyFill="1" applyBorder="1" applyAlignment="1">
      <alignment horizontal="center" vertical="center" wrapText="1"/>
    </xf>
    <xf numFmtId="0" fontId="29" fillId="23" borderId="19" xfId="22" applyFont="1" applyFill="1" applyBorder="1" applyAlignment="1">
      <alignment horizontal="center" vertical="center" wrapText="1"/>
    </xf>
    <xf numFmtId="2" fontId="29" fillId="23" borderId="19" xfId="22" applyNumberFormat="1" applyFont="1" applyFill="1" applyBorder="1" applyAlignment="1">
      <alignment horizontal="center" vertical="center" wrapText="1"/>
    </xf>
    <xf numFmtId="14" fontId="29" fillId="0" borderId="19" xfId="22" applyNumberFormat="1" applyFont="1" applyFill="1" applyBorder="1" applyAlignment="1">
      <alignment horizontal="center" vertical="center" wrapText="1"/>
    </xf>
    <xf numFmtId="166" fontId="75" fillId="18" borderId="19" xfId="22" applyNumberFormat="1" applyFont="1" applyFill="1" applyBorder="1" applyAlignment="1">
      <alignment horizontal="left" vertical="center" wrapText="1"/>
    </xf>
    <xf numFmtId="166" fontId="75" fillId="18" borderId="19" xfId="22" applyNumberFormat="1" applyFont="1" applyFill="1" applyBorder="1" applyAlignment="1">
      <alignment horizontal="center" vertical="center" wrapText="1"/>
    </xf>
    <xf numFmtId="4" fontId="78" fillId="18" borderId="0" xfId="0" applyNumberFormat="1" applyFont="1" applyFill="1" applyAlignment="1">
      <alignment wrapText="1"/>
    </xf>
    <xf numFmtId="0" fontId="121" fillId="0" borderId="3" xfId="0" applyFont="1" applyBorder="1" applyAlignment="1">
      <alignment horizontal="center" vertical="center" textRotation="90" wrapText="1"/>
    </xf>
    <xf numFmtId="4" fontId="78" fillId="0" borderId="0" xfId="0" applyNumberFormat="1" applyFont="1" applyAlignment="1">
      <alignment wrapText="1"/>
    </xf>
    <xf numFmtId="4" fontId="84" fillId="0" borderId="0" xfId="0" applyNumberFormat="1" applyFont="1" applyAlignment="1">
      <alignment vertical="center"/>
    </xf>
    <xf numFmtId="4" fontId="84" fillId="18" borderId="0" xfId="0" applyNumberFormat="1" applyFont="1" applyFill="1" applyAlignment="1">
      <alignment vertical="center"/>
    </xf>
    <xf numFmtId="4" fontId="78" fillId="20" borderId="0" xfId="0" applyNumberFormat="1" applyFont="1" applyFill="1" applyAlignment="1">
      <alignment wrapText="1"/>
    </xf>
    <xf numFmtId="4" fontId="78" fillId="20" borderId="0" xfId="0" applyNumberFormat="1" applyFont="1" applyFill="1" applyAlignment="1">
      <alignment horizontal="center" vertical="center" wrapText="1"/>
    </xf>
    <xf numFmtId="4" fontId="77" fillId="20" borderId="3" xfId="0" applyNumberFormat="1" applyFont="1" applyFill="1" applyBorder="1" applyAlignment="1">
      <alignment horizontal="center" vertical="center" wrapText="1"/>
    </xf>
    <xf numFmtId="0" fontId="84" fillId="0" borderId="0" xfId="0" applyFont="1"/>
    <xf numFmtId="4" fontId="122" fillId="0" borderId="0" xfId="0" applyNumberFormat="1" applyFont="1" applyAlignment="1">
      <alignment horizontal="center" vertical="center"/>
    </xf>
    <xf numFmtId="1" fontId="7" fillId="18" borderId="3" xfId="22" applyNumberFormat="1" applyFont="1" applyFill="1" applyBorder="1" applyAlignment="1">
      <alignment horizontal="center" vertical="center" wrapText="1"/>
    </xf>
    <xf numFmtId="0" fontId="7" fillId="0" borderId="19" xfId="22" applyFont="1" applyFill="1" applyBorder="1" applyAlignment="1">
      <alignment horizontal="left" vertical="center" wrapText="1"/>
    </xf>
    <xf numFmtId="0" fontId="7" fillId="0" borderId="3" xfId="2" applyFont="1" applyBorder="1" applyAlignment="1">
      <alignment horizontal="center" vertical="center" wrapText="1"/>
    </xf>
    <xf numFmtId="0" fontId="7" fillId="0" borderId="5" xfId="22" applyFont="1" applyFill="1" applyBorder="1" applyAlignment="1">
      <alignment horizontal="center" vertical="center" wrapText="1"/>
    </xf>
    <xf numFmtId="1" fontId="7" fillId="0" borderId="20" xfId="22" applyNumberFormat="1" applyFont="1" applyFill="1" applyBorder="1" applyAlignment="1">
      <alignment horizontal="center" vertical="center" wrapText="1"/>
    </xf>
    <xf numFmtId="166" fontId="7" fillId="0" borderId="4" xfId="22" applyNumberFormat="1" applyFont="1" applyFill="1" applyBorder="1" applyAlignment="1">
      <alignment horizontal="center" vertical="center" wrapText="1"/>
    </xf>
    <xf numFmtId="164" fontId="7" fillId="18" borderId="3" xfId="32" applyFont="1" applyFill="1" applyBorder="1" applyAlignment="1">
      <alignment vertical="center" wrapText="1"/>
    </xf>
    <xf numFmtId="168" fontId="94" fillId="0" borderId="4" xfId="22" applyNumberFormat="1" applyFont="1" applyFill="1" applyBorder="1" applyAlignment="1">
      <alignment horizontal="center" vertical="center" wrapText="1"/>
    </xf>
    <xf numFmtId="14" fontId="32" fillId="0" borderId="20" xfId="22" applyNumberFormat="1" applyFont="1" applyFill="1" applyBorder="1" applyAlignment="1">
      <alignment horizontal="center" vertical="center" wrapText="1"/>
    </xf>
    <xf numFmtId="0" fontId="7" fillId="0" borderId="20" xfId="22" applyNumberFormat="1" applyFont="1" applyFill="1" applyBorder="1" applyAlignment="1">
      <alignment horizontal="center" vertical="center" wrapText="1"/>
    </xf>
    <xf numFmtId="0" fontId="7" fillId="18" borderId="19" xfId="22" applyFont="1" applyFill="1" applyBorder="1" applyAlignment="1">
      <alignment horizontal="left" vertical="center" wrapText="1"/>
    </xf>
    <xf numFmtId="0" fontId="7" fillId="18" borderId="3" xfId="2" applyFont="1" applyFill="1" applyBorder="1" applyAlignment="1">
      <alignment horizontal="center" vertical="center" wrapText="1"/>
    </xf>
    <xf numFmtId="0" fontId="7" fillId="18" borderId="3" xfId="22" applyFont="1" applyFill="1" applyBorder="1" applyAlignment="1">
      <alignment horizontal="center" vertical="center" wrapText="1"/>
    </xf>
    <xf numFmtId="1" fontId="7" fillId="18" borderId="20" xfId="22" applyNumberFormat="1" applyFont="1" applyFill="1" applyBorder="1" applyAlignment="1">
      <alignment horizontal="center" vertical="center" wrapText="1"/>
    </xf>
    <xf numFmtId="49" fontId="7" fillId="18" borderId="20" xfId="22" applyNumberFormat="1" applyFont="1" applyFill="1" applyBorder="1" applyAlignment="1">
      <alignment horizontal="center" vertical="center" wrapText="1"/>
    </xf>
    <xf numFmtId="49" fontId="7" fillId="18" borderId="3" xfId="22" applyNumberFormat="1" applyFont="1" applyFill="1" applyBorder="1" applyAlignment="1">
      <alignment horizontal="center" vertical="center" wrapText="1"/>
    </xf>
    <xf numFmtId="166" fontId="7" fillId="18" borderId="3" xfId="22" applyNumberFormat="1" applyFont="1" applyFill="1" applyBorder="1" applyAlignment="1">
      <alignment horizontal="center" vertical="center" wrapText="1"/>
    </xf>
    <xf numFmtId="4" fontId="63" fillId="18" borderId="3" xfId="0" applyNumberFormat="1" applyFont="1" applyFill="1" applyBorder="1" applyAlignment="1">
      <alignment horizontal="center" vertical="center" wrapText="1"/>
    </xf>
    <xf numFmtId="4" fontId="89" fillId="18" borderId="3" xfId="0" applyNumberFormat="1" applyFont="1" applyFill="1" applyBorder="1" applyAlignment="1">
      <alignment horizontal="center" vertical="center" wrapText="1"/>
    </xf>
    <xf numFmtId="4" fontId="95" fillId="18" borderId="4" xfId="0" applyNumberFormat="1" applyFont="1" applyFill="1" applyBorder="1" applyAlignment="1">
      <alignment horizontal="center" vertical="center" wrapText="1"/>
    </xf>
    <xf numFmtId="4" fontId="57" fillId="18" borderId="6" xfId="0" applyNumberFormat="1" applyFont="1" applyFill="1" applyBorder="1" applyAlignment="1">
      <alignment horizontal="center" vertical="center" wrapText="1"/>
    </xf>
    <xf numFmtId="2" fontId="94" fillId="18" borderId="3" xfId="22" applyNumberFormat="1" applyFont="1" applyFill="1" applyBorder="1" applyAlignment="1">
      <alignment horizontal="center" vertical="center" wrapText="1"/>
    </xf>
    <xf numFmtId="168" fontId="94" fillId="18" borderId="4" xfId="22" applyNumberFormat="1" applyFont="1" applyFill="1" applyBorder="1" applyAlignment="1">
      <alignment horizontal="center" vertical="center" wrapText="1"/>
    </xf>
    <xf numFmtId="14" fontId="32" fillId="18" borderId="3" xfId="22" applyNumberFormat="1" applyFont="1" applyFill="1" applyBorder="1" applyAlignment="1">
      <alignment horizontal="center" vertical="center" wrapText="1"/>
    </xf>
    <xf numFmtId="0" fontId="7" fillId="18" borderId="19" xfId="22" applyNumberFormat="1" applyFont="1" applyFill="1" applyBorder="1" applyAlignment="1">
      <alignment horizontal="center" vertical="center" wrapText="1"/>
    </xf>
    <xf numFmtId="0" fontId="7" fillId="18" borderId="6" xfId="22" applyFont="1" applyFill="1" applyBorder="1" applyAlignment="1">
      <alignment horizontal="center" vertical="center" wrapText="1"/>
    </xf>
    <xf numFmtId="49" fontId="7" fillId="18" borderId="6" xfId="22" applyNumberFormat="1" applyFont="1" applyFill="1" applyBorder="1" applyAlignment="1">
      <alignment horizontal="center" vertical="center" wrapText="1"/>
    </xf>
    <xf numFmtId="2" fontId="7" fillId="18" borderId="6" xfId="22" applyNumberFormat="1" applyFont="1" applyFill="1" applyBorder="1" applyAlignment="1">
      <alignment horizontal="center" vertical="center" wrapText="1"/>
    </xf>
    <xf numFmtId="14" fontId="7" fillId="18" borderId="6" xfId="22" applyNumberFormat="1" applyFont="1" applyFill="1" applyBorder="1" applyAlignment="1">
      <alignment horizontal="center" vertical="center" wrapText="1"/>
    </xf>
    <xf numFmtId="0" fontId="7" fillId="18" borderId="19" xfId="22" applyFont="1" applyFill="1" applyBorder="1" applyAlignment="1">
      <alignment horizontal="center" vertical="center" wrapText="1"/>
    </xf>
    <xf numFmtId="14" fontId="32" fillId="18" borderId="19" xfId="22" applyNumberFormat="1" applyFont="1" applyFill="1" applyBorder="1" applyAlignment="1">
      <alignment horizontal="center" vertical="center" wrapText="1"/>
    </xf>
    <xf numFmtId="0" fontId="7" fillId="22" borderId="3" xfId="22" applyFont="1" applyFill="1" applyBorder="1" applyAlignment="1">
      <alignment horizontal="center" vertical="center" wrapText="1"/>
    </xf>
    <xf numFmtId="1" fontId="7" fillId="22" borderId="20" xfId="22" applyNumberFormat="1" applyFont="1" applyFill="1" applyBorder="1" applyAlignment="1">
      <alignment horizontal="center" vertical="center" wrapText="1"/>
    </xf>
    <xf numFmtId="49" fontId="7" fillId="22" borderId="3" xfId="22" applyNumberFormat="1" applyFont="1" applyFill="1" applyBorder="1" applyAlignment="1">
      <alignment horizontal="center" vertical="center" wrapText="1"/>
    </xf>
    <xf numFmtId="14" fontId="7" fillId="22" borderId="3" xfId="22" applyNumberFormat="1" applyFont="1" applyFill="1" applyBorder="1" applyAlignment="1">
      <alignment horizontal="center" vertical="center" wrapText="1"/>
    </xf>
    <xf numFmtId="2" fontId="7" fillId="22" borderId="3" xfId="22" applyNumberFormat="1" applyFont="1" applyFill="1" applyBorder="1" applyAlignment="1">
      <alignment horizontal="center" vertical="center" wrapText="1"/>
    </xf>
    <xf numFmtId="164" fontId="7" fillId="22" borderId="3" xfId="32" applyFont="1" applyFill="1" applyBorder="1" applyAlignment="1">
      <alignment vertical="center" wrapText="1"/>
    </xf>
    <xf numFmtId="2" fontId="94" fillId="22" borderId="3" xfId="22" applyNumberFormat="1" applyFont="1" applyFill="1" applyBorder="1" applyAlignment="1">
      <alignment horizontal="center" vertical="center" wrapText="1"/>
    </xf>
    <xf numFmtId="0" fontId="7" fillId="18" borderId="0" xfId="22" applyFont="1" applyFill="1" applyAlignment="1">
      <alignment horizontal="center" vertical="center" wrapText="1"/>
    </xf>
    <xf numFmtId="4" fontId="57" fillId="18" borderId="0" xfId="0" applyNumberFormat="1" applyFont="1" applyFill="1" applyBorder="1" applyAlignment="1">
      <alignment horizontal="center" vertical="center" wrapText="1"/>
    </xf>
    <xf numFmtId="14" fontId="32" fillId="18" borderId="0" xfId="22" applyNumberFormat="1" applyFont="1" applyFill="1" applyAlignment="1">
      <alignment horizontal="center" vertical="center" wrapText="1"/>
    </xf>
    <xf numFmtId="0" fontId="7" fillId="18" borderId="3" xfId="22" applyNumberFormat="1" applyFont="1" applyFill="1" applyBorder="1" applyAlignment="1">
      <alignment horizontal="center" vertical="center" wrapText="1"/>
    </xf>
    <xf numFmtId="2" fontId="123" fillId="18" borderId="3" xfId="0" applyNumberFormat="1" applyFont="1" applyFill="1" applyBorder="1" applyAlignment="1">
      <alignment horizontal="center" vertical="center" wrapText="1"/>
    </xf>
    <xf numFmtId="4" fontId="124" fillId="18" borderId="3" xfId="0" applyNumberFormat="1" applyFont="1" applyFill="1" applyBorder="1" applyAlignment="1">
      <alignment horizontal="center" vertical="center" wrapText="1"/>
    </xf>
    <xf numFmtId="4" fontId="123" fillId="18" borderId="3" xfId="0" applyNumberFormat="1" applyFont="1" applyFill="1" applyBorder="1" applyAlignment="1">
      <alignment horizontal="center" vertical="center" wrapText="1"/>
    </xf>
    <xf numFmtId="2" fontId="125" fillId="18" borderId="3" xfId="0" applyNumberFormat="1" applyFont="1" applyFill="1" applyBorder="1" applyAlignment="1">
      <alignment horizontal="center" vertical="center" wrapText="1"/>
    </xf>
    <xf numFmtId="4" fontId="126" fillId="18" borderId="3" xfId="0" applyNumberFormat="1" applyFont="1" applyFill="1" applyBorder="1" applyAlignment="1">
      <alignment horizontal="center" vertical="center" wrapText="1"/>
    </xf>
    <xf numFmtId="4" fontId="125" fillId="18" borderId="3" xfId="0" applyNumberFormat="1" applyFont="1" applyFill="1" applyBorder="1" applyAlignment="1">
      <alignment horizontal="center" vertical="center" wrapText="1"/>
    </xf>
    <xf numFmtId="1" fontId="127" fillId="18" borderId="3" xfId="22" applyNumberFormat="1" applyFont="1" applyFill="1" applyBorder="1" applyAlignment="1">
      <alignment horizontal="center" vertical="center" wrapText="1"/>
    </xf>
    <xf numFmtId="0" fontId="128" fillId="18" borderId="19" xfId="22" applyFont="1" applyFill="1" applyBorder="1" applyAlignment="1">
      <alignment horizontal="left" vertical="center" wrapText="1"/>
    </xf>
    <xf numFmtId="0" fontId="127" fillId="18" borderId="3" xfId="2" applyFont="1" applyFill="1" applyBorder="1" applyAlignment="1">
      <alignment horizontal="center" vertical="center" wrapText="1"/>
    </xf>
    <xf numFmtId="0" fontId="127" fillId="18" borderId="3" xfId="22" applyFont="1" applyFill="1" applyBorder="1" applyAlignment="1">
      <alignment horizontal="center" vertical="center" wrapText="1"/>
    </xf>
    <xf numFmtId="1" fontId="127" fillId="18" borderId="20" xfId="22" applyNumberFormat="1" applyFont="1" applyFill="1" applyBorder="1" applyAlignment="1">
      <alignment horizontal="center" vertical="center" wrapText="1"/>
    </xf>
    <xf numFmtId="49" fontId="127" fillId="18" borderId="20" xfId="22" applyNumberFormat="1" applyFont="1" applyFill="1" applyBorder="1" applyAlignment="1">
      <alignment horizontal="center" vertical="center" wrapText="1"/>
    </xf>
    <xf numFmtId="0" fontId="127" fillId="18" borderId="20" xfId="22" applyFont="1" applyFill="1" applyBorder="1" applyAlignment="1">
      <alignment horizontal="center" vertical="center" wrapText="1"/>
    </xf>
    <xf numFmtId="14" fontId="127" fillId="18" borderId="20" xfId="22" applyNumberFormat="1" applyFont="1" applyFill="1" applyBorder="1" applyAlignment="1">
      <alignment horizontal="center" vertical="center" wrapText="1"/>
    </xf>
    <xf numFmtId="166" fontId="127" fillId="18" borderId="4" xfId="22" applyNumberFormat="1" applyFont="1" applyFill="1" applyBorder="1" applyAlignment="1">
      <alignment horizontal="center" vertical="center" wrapText="1"/>
    </xf>
    <xf numFmtId="2" fontId="127" fillId="18" borderId="4" xfId="22" applyNumberFormat="1" applyFont="1" applyFill="1" applyBorder="1" applyAlignment="1">
      <alignment horizontal="center" vertical="center" wrapText="1"/>
    </xf>
    <xf numFmtId="2" fontId="127" fillId="18" borderId="3" xfId="22" applyNumberFormat="1" applyFont="1" applyFill="1" applyBorder="1" applyAlignment="1">
      <alignment horizontal="center" vertical="center" wrapText="1"/>
    </xf>
    <xf numFmtId="164" fontId="127" fillId="18" borderId="3" xfId="32" applyFont="1" applyFill="1" applyBorder="1" applyAlignment="1">
      <alignment vertical="center" wrapText="1"/>
    </xf>
    <xf numFmtId="4" fontId="129" fillId="18" borderId="3" xfId="0" applyNumberFormat="1" applyFont="1" applyFill="1" applyBorder="1" applyAlignment="1">
      <alignment horizontal="center" vertical="center" wrapText="1"/>
    </xf>
    <xf numFmtId="4" fontId="130" fillId="18" borderId="3" xfId="0" applyNumberFormat="1" applyFont="1" applyFill="1" applyBorder="1" applyAlignment="1">
      <alignment horizontal="center" vertical="center" wrapText="1"/>
    </xf>
    <xf numFmtId="4" fontId="131" fillId="18" borderId="4" xfId="0" applyNumberFormat="1" applyFont="1" applyFill="1" applyBorder="1" applyAlignment="1">
      <alignment horizontal="center" vertical="center" wrapText="1"/>
    </xf>
    <xf numFmtId="4" fontId="125" fillId="18" borderId="6" xfId="0" applyNumberFormat="1" applyFont="1" applyFill="1" applyBorder="1" applyAlignment="1">
      <alignment horizontal="center" vertical="center" wrapText="1"/>
    </xf>
    <xf numFmtId="4" fontId="132" fillId="18" borderId="3" xfId="0" applyNumberFormat="1" applyFont="1" applyFill="1" applyBorder="1" applyAlignment="1">
      <alignment horizontal="center" vertical="center" wrapText="1"/>
    </xf>
    <xf numFmtId="2" fontId="128" fillId="18" borderId="3" xfId="22" applyNumberFormat="1" applyFont="1" applyFill="1" applyBorder="1" applyAlignment="1">
      <alignment horizontal="center" vertical="center" wrapText="1"/>
    </xf>
    <xf numFmtId="168" fontId="128" fillId="18" borderId="4" xfId="22" applyNumberFormat="1" applyFont="1" applyFill="1" applyBorder="1" applyAlignment="1">
      <alignment horizontal="center" vertical="center" wrapText="1"/>
    </xf>
    <xf numFmtId="14" fontId="133" fillId="18" borderId="19" xfId="22" applyNumberFormat="1" applyFont="1" applyFill="1" applyBorder="1" applyAlignment="1">
      <alignment horizontal="center" vertical="center" wrapText="1"/>
    </xf>
    <xf numFmtId="0" fontId="127" fillId="18" borderId="20" xfId="22" applyNumberFormat="1" applyFont="1" applyFill="1" applyBorder="1" applyAlignment="1">
      <alignment horizontal="center" vertical="center" wrapText="1"/>
    </xf>
    <xf numFmtId="49" fontId="127" fillId="18" borderId="3" xfId="22" applyNumberFormat="1" applyFont="1" applyFill="1" applyBorder="1" applyAlignment="1">
      <alignment horizontal="center" vertical="center" wrapText="1"/>
    </xf>
    <xf numFmtId="2" fontId="123" fillId="0" borderId="3" xfId="0" applyNumberFormat="1" applyFont="1" applyBorder="1" applyAlignment="1">
      <alignment horizontal="center" vertical="center" wrapText="1"/>
    </xf>
    <xf numFmtId="4" fontId="123" fillId="0" borderId="3" xfId="0" applyNumberFormat="1" applyFont="1" applyBorder="1" applyAlignment="1">
      <alignment horizontal="center" vertical="center" wrapText="1"/>
    </xf>
    <xf numFmtId="4" fontId="134" fillId="0" borderId="3" xfId="0" applyNumberFormat="1" applyFont="1" applyBorder="1" applyAlignment="1">
      <alignment horizontal="center" vertical="center" wrapText="1"/>
    </xf>
    <xf numFmtId="2" fontId="7" fillId="18" borderId="3" xfId="22" applyNumberFormat="1" applyFont="1" applyFill="1" applyBorder="1" applyAlignment="1">
      <alignment horizontal="left" vertical="center" wrapText="1"/>
    </xf>
    <xf numFmtId="166" fontId="7" fillId="18" borderId="4" xfId="22" applyNumberFormat="1" applyFont="1" applyFill="1" applyBorder="1" applyAlignment="1">
      <alignment horizontal="center" vertical="center" wrapText="1"/>
    </xf>
    <xf numFmtId="2" fontId="7" fillId="18" borderId="4" xfId="22" applyNumberFormat="1" applyFont="1" applyFill="1" applyBorder="1" applyAlignment="1">
      <alignment horizontal="center" vertical="center" wrapText="1"/>
    </xf>
    <xf numFmtId="4" fontId="123" fillId="0" borderId="0" xfId="0" applyNumberFormat="1" applyFont="1" applyBorder="1" applyAlignment="1">
      <alignment horizontal="center" vertical="center" wrapText="1"/>
    </xf>
    <xf numFmtId="4" fontId="117" fillId="0" borderId="3" xfId="0" applyNumberFormat="1" applyFont="1" applyBorder="1" applyAlignment="1">
      <alignment horizontal="center" vertical="center" wrapText="1"/>
    </xf>
    <xf numFmtId="4" fontId="121" fillId="0" borderId="3" xfId="0" applyNumberFormat="1" applyFont="1" applyBorder="1" applyAlignment="1">
      <alignment horizontal="center" vertical="center" wrapText="1"/>
    </xf>
    <xf numFmtId="4" fontId="135" fillId="0" borderId="3" xfId="0" applyNumberFormat="1" applyFont="1" applyBorder="1" applyAlignment="1">
      <alignment horizontal="center" vertical="center" wrapText="1"/>
    </xf>
    <xf numFmtId="4" fontId="136" fillId="0" borderId="3" xfId="0" applyNumberFormat="1" applyFont="1" applyBorder="1" applyAlignment="1">
      <alignment horizontal="center" vertical="center" wrapText="1"/>
    </xf>
    <xf numFmtId="4" fontId="137" fillId="0" borderId="0" xfId="0" applyNumberFormat="1" applyFont="1" applyBorder="1" applyAlignment="1">
      <alignment horizontal="center" vertical="center" wrapText="1"/>
    </xf>
    <xf numFmtId="4" fontId="123" fillId="0" borderId="6" xfId="0" applyNumberFormat="1" applyFont="1" applyBorder="1" applyAlignment="1">
      <alignment horizontal="center" vertical="center" wrapText="1"/>
    </xf>
    <xf numFmtId="4" fontId="40" fillId="0" borderId="3" xfId="0" applyNumberFormat="1" applyFont="1" applyBorder="1" applyAlignment="1">
      <alignment horizontal="center" vertical="center" wrapText="1"/>
    </xf>
    <xf numFmtId="0" fontId="7" fillId="18" borderId="20" xfId="22" applyNumberFormat="1" applyFont="1" applyFill="1" applyBorder="1" applyAlignment="1">
      <alignment horizontal="center" vertical="center" wrapText="1"/>
    </xf>
    <xf numFmtId="49" fontId="7" fillId="18" borderId="3" xfId="2" applyNumberFormat="1" applyFont="1" applyFill="1" applyBorder="1" applyAlignment="1">
      <alignment horizontal="center" vertical="center" wrapText="1"/>
    </xf>
    <xf numFmtId="0" fontId="7" fillId="22" borderId="19" xfId="22" applyFont="1" applyFill="1" applyBorder="1" applyAlignment="1">
      <alignment horizontal="center" vertical="center" wrapText="1"/>
    </xf>
    <xf numFmtId="49" fontId="7" fillId="22" borderId="20" xfId="22" applyNumberFormat="1" applyFont="1" applyFill="1" applyBorder="1" applyAlignment="1">
      <alignment horizontal="center" vertical="center" wrapText="1"/>
    </xf>
    <xf numFmtId="166" fontId="7" fillId="22" borderId="4" xfId="22" applyNumberFormat="1" applyFont="1" applyFill="1" applyBorder="1" applyAlignment="1">
      <alignment horizontal="center" vertical="center" wrapText="1"/>
    </xf>
    <xf numFmtId="2" fontId="7" fillId="22" borderId="4" xfId="22" applyNumberFormat="1" applyFont="1" applyFill="1" applyBorder="1" applyAlignment="1">
      <alignment horizontal="center" vertical="center" wrapText="1"/>
    </xf>
    <xf numFmtId="4" fontId="95" fillId="22" borderId="4" xfId="0" applyNumberFormat="1" applyFont="1" applyFill="1" applyBorder="1" applyAlignment="1">
      <alignment horizontal="center" vertical="center" wrapText="1"/>
    </xf>
    <xf numFmtId="4" fontId="57" fillId="22" borderId="6" xfId="0" applyNumberFormat="1" applyFont="1" applyFill="1" applyBorder="1" applyAlignment="1">
      <alignment horizontal="center" vertical="center" wrapText="1"/>
    </xf>
    <xf numFmtId="14" fontId="7" fillId="22" borderId="22" xfId="22" applyNumberFormat="1" applyFont="1" applyFill="1" applyBorder="1" applyAlignment="1">
      <alignment horizontal="center" vertical="center" wrapText="1"/>
    </xf>
    <xf numFmtId="4" fontId="138" fillId="18" borderId="3" xfId="0" applyNumberFormat="1" applyFont="1" applyFill="1" applyBorder="1" applyAlignment="1">
      <alignment horizontal="center" vertical="center" wrapText="1"/>
    </xf>
    <xf numFmtId="0" fontId="80" fillId="0" borderId="3" xfId="0" applyFont="1" applyBorder="1" applyAlignment="1">
      <alignment horizontal="center" vertical="center" textRotation="90" wrapText="1"/>
    </xf>
    <xf numFmtId="1" fontId="80" fillId="0" borderId="3" xfId="22" applyNumberFormat="1" applyFont="1" applyFill="1" applyBorder="1" applyAlignment="1">
      <alignment horizontal="center" vertical="center" wrapText="1"/>
    </xf>
    <xf numFmtId="4" fontId="139" fillId="18" borderId="3" xfId="0" applyNumberFormat="1" applyFont="1" applyFill="1" applyBorder="1" applyAlignment="1">
      <alignment horizontal="center" vertical="center" wrapText="1"/>
    </xf>
    <xf numFmtId="4" fontId="82" fillId="23" borderId="3" xfId="0" applyNumberFormat="1" applyFont="1" applyFill="1" applyBorder="1" applyAlignment="1">
      <alignment horizontal="center" vertical="center" wrapText="1"/>
    </xf>
    <xf numFmtId="4" fontId="82" fillId="0" borderId="5" xfId="0" applyNumberFormat="1" applyFont="1" applyBorder="1" applyAlignment="1">
      <alignment horizontal="center" vertical="center" wrapText="1"/>
    </xf>
    <xf numFmtId="0" fontId="82" fillId="18" borderId="0" xfId="0" applyFont="1" applyFill="1" applyBorder="1" applyAlignment="1">
      <alignment horizontal="center" vertical="center" wrapText="1"/>
    </xf>
    <xf numFmtId="4" fontId="82" fillId="0" borderId="19" xfId="0" applyNumberFormat="1" applyFont="1" applyBorder="1" applyAlignment="1">
      <alignment horizontal="center" vertical="center" wrapText="1"/>
    </xf>
    <xf numFmtId="4" fontId="82" fillId="18" borderId="3" xfId="0" applyNumberFormat="1" applyFont="1" applyFill="1" applyBorder="1" applyAlignment="1">
      <alignment vertical="center" wrapText="1"/>
    </xf>
    <xf numFmtId="4" fontId="82" fillId="18" borderId="19" xfId="0" applyNumberFormat="1" applyFont="1" applyFill="1" applyBorder="1" applyAlignment="1">
      <alignment horizontal="center" vertical="center" wrapText="1"/>
    </xf>
    <xf numFmtId="1" fontId="127" fillId="0" borderId="3" xfId="22" applyNumberFormat="1" applyFont="1" applyFill="1" applyBorder="1" applyAlignment="1">
      <alignment horizontal="center" vertical="center" wrapText="1"/>
    </xf>
    <xf numFmtId="0" fontId="127" fillId="18" borderId="3" xfId="22" applyFont="1" applyFill="1" applyBorder="1" applyAlignment="1">
      <alignment horizontal="left" vertical="center" wrapText="1"/>
    </xf>
    <xf numFmtId="0" fontId="127" fillId="18" borderId="6" xfId="22" applyFont="1" applyFill="1" applyBorder="1" applyAlignment="1">
      <alignment horizontal="center" vertical="center" wrapText="1"/>
    </xf>
    <xf numFmtId="1" fontId="127" fillId="0" borderId="20" xfId="22" applyNumberFormat="1" applyFont="1" applyFill="1" applyBorder="1" applyAlignment="1">
      <alignment horizontal="center" vertical="center" wrapText="1"/>
    </xf>
    <xf numFmtId="0" fontId="127" fillId="0" borderId="20" xfId="22" applyFont="1" applyBorder="1" applyAlignment="1">
      <alignment horizontal="center" vertical="center" wrapText="1"/>
    </xf>
    <xf numFmtId="49" fontId="127" fillId="0" borderId="20" xfId="22" applyNumberFormat="1" applyFont="1" applyBorder="1" applyAlignment="1">
      <alignment horizontal="center" vertical="center" wrapText="1"/>
    </xf>
    <xf numFmtId="49" fontId="127" fillId="0" borderId="3" xfId="22" applyNumberFormat="1" applyFont="1" applyFill="1" applyBorder="1" applyAlignment="1">
      <alignment horizontal="center" vertical="center" wrapText="1"/>
    </xf>
    <xf numFmtId="49" fontId="127" fillId="0" borderId="20" xfId="22" applyNumberFormat="1" applyFont="1" applyFill="1" applyBorder="1" applyAlignment="1">
      <alignment horizontal="center" vertical="center" wrapText="1"/>
    </xf>
    <xf numFmtId="14" fontId="127" fillId="0" borderId="20" xfId="22" applyNumberFormat="1" applyFont="1" applyFill="1" applyBorder="1" applyAlignment="1">
      <alignment horizontal="center" vertical="center" wrapText="1"/>
    </xf>
    <xf numFmtId="0" fontId="127" fillId="0" borderId="3" xfId="22" applyFont="1" applyFill="1" applyBorder="1" applyAlignment="1">
      <alignment horizontal="center" vertical="center" wrapText="1"/>
    </xf>
    <xf numFmtId="166" fontId="127" fillId="0" borderId="3" xfId="22" applyNumberFormat="1" applyFont="1" applyFill="1" applyBorder="1" applyAlignment="1">
      <alignment horizontal="center" vertical="center" wrapText="1"/>
    </xf>
    <xf numFmtId="2" fontId="127" fillId="0" borderId="3" xfId="22" applyNumberFormat="1" applyFont="1" applyFill="1" applyBorder="1" applyAlignment="1">
      <alignment horizontal="center" vertical="center" wrapText="1"/>
    </xf>
    <xf numFmtId="164" fontId="127" fillId="0" borderId="3" xfId="32" applyFont="1" applyFill="1" applyBorder="1" applyAlignment="1">
      <alignment vertical="center" wrapText="1"/>
    </xf>
    <xf numFmtId="2" fontId="138" fillId="0" borderId="3" xfId="0" applyNumberFormat="1" applyFont="1" applyBorder="1" applyAlignment="1">
      <alignment horizontal="center" vertical="center" wrapText="1"/>
    </xf>
    <xf numFmtId="2" fontId="132" fillId="0" borderId="3" xfId="0" applyNumberFormat="1" applyFont="1" applyBorder="1" applyAlignment="1">
      <alignment horizontal="center" vertical="center" wrapText="1"/>
    </xf>
    <xf numFmtId="4" fontId="108" fillId="18" borderId="3" xfId="0" applyNumberFormat="1" applyFont="1" applyFill="1" applyBorder="1" applyAlignment="1">
      <alignment horizontal="center" vertical="center" wrapText="1"/>
    </xf>
    <xf numFmtId="4" fontId="132" fillId="0" borderId="3" xfId="0" applyNumberFormat="1" applyFont="1" applyBorder="1" applyAlignment="1">
      <alignment horizontal="center" vertical="center" wrapText="1"/>
    </xf>
    <xf numFmtId="4" fontId="129" fillId="0" borderId="3" xfId="0" applyNumberFormat="1" applyFont="1" applyBorder="1" applyAlignment="1">
      <alignment horizontal="center" vertical="center" wrapText="1"/>
    </xf>
    <xf numFmtId="4" fontId="130" fillId="0" borderId="3" xfId="0" applyNumberFormat="1" applyFont="1" applyBorder="1" applyAlignment="1">
      <alignment horizontal="center" vertical="center" wrapText="1"/>
    </xf>
    <xf numFmtId="4" fontId="138" fillId="0" borderId="3" xfId="0" applyNumberFormat="1" applyFont="1" applyBorder="1" applyAlignment="1">
      <alignment horizontal="center" vertical="center" wrapText="1"/>
    </xf>
    <xf numFmtId="4" fontId="139" fillId="0" borderId="3" xfId="0" applyNumberFormat="1" applyFont="1" applyBorder="1" applyAlignment="1">
      <alignment horizontal="center" vertical="center" wrapText="1"/>
    </xf>
    <xf numFmtId="4" fontId="140" fillId="0" borderId="3" xfId="0" applyNumberFormat="1" applyFont="1" applyBorder="1" applyAlignment="1">
      <alignment horizontal="center" vertical="center" wrapText="1"/>
    </xf>
    <xf numFmtId="4" fontId="131" fillId="0" borderId="4" xfId="0" applyNumberFormat="1" applyFont="1" applyBorder="1" applyAlignment="1">
      <alignment horizontal="center" vertical="center" wrapText="1"/>
    </xf>
    <xf numFmtId="4" fontId="125" fillId="0" borderId="3" xfId="0" applyNumberFormat="1" applyFont="1" applyBorder="1" applyAlignment="1">
      <alignment horizontal="center" vertical="center" wrapText="1"/>
    </xf>
    <xf numFmtId="4" fontId="132" fillId="0" borderId="6" xfId="0" applyNumberFormat="1" applyFont="1" applyBorder="1" applyAlignment="1">
      <alignment horizontal="center" vertical="center" wrapText="1"/>
    </xf>
    <xf numFmtId="2" fontId="128" fillId="17" borderId="3" xfId="22" applyNumberFormat="1" applyFont="1" applyFill="1" applyBorder="1" applyAlignment="1">
      <alignment horizontal="center" vertical="center" wrapText="1"/>
    </xf>
    <xf numFmtId="168" fontId="128" fillId="0" borderId="4" xfId="22" applyNumberFormat="1" applyFont="1" applyFill="1" applyBorder="1" applyAlignment="1">
      <alignment horizontal="center" vertical="center" wrapText="1"/>
    </xf>
    <xf numFmtId="14" fontId="133" fillId="0" borderId="3" xfId="22" applyNumberFormat="1" applyFont="1" applyFill="1" applyBorder="1" applyAlignment="1">
      <alignment horizontal="center" vertical="center" wrapText="1"/>
    </xf>
    <xf numFmtId="0" fontId="127" fillId="0" borderId="3" xfId="22" applyFont="1" applyBorder="1" applyAlignment="1">
      <alignment horizontal="center" vertical="center" wrapText="1"/>
    </xf>
    <xf numFmtId="1" fontId="141" fillId="0" borderId="3" xfId="22" applyNumberFormat="1" applyFont="1" applyFill="1" applyBorder="1" applyAlignment="1">
      <alignment horizontal="center" vertical="center" wrapText="1"/>
    </xf>
    <xf numFmtId="0" fontId="141" fillId="0" borderId="3" xfId="22" applyFont="1" applyFill="1" applyBorder="1" applyAlignment="1">
      <alignment horizontal="left" vertical="center" wrapText="1"/>
    </xf>
    <xf numFmtId="0" fontId="141" fillId="0" borderId="3" xfId="22" applyFont="1" applyFill="1" applyBorder="1" applyAlignment="1">
      <alignment horizontal="center" vertical="center" wrapText="1"/>
    </xf>
    <xf numFmtId="0" fontId="141" fillId="0" borderId="3" xfId="22" applyFont="1" applyBorder="1" applyAlignment="1">
      <alignment horizontal="center" vertical="center" wrapText="1"/>
    </xf>
    <xf numFmtId="49" fontId="141" fillId="0" borderId="3" xfId="22" applyNumberFormat="1" applyFont="1" applyBorder="1" applyAlignment="1">
      <alignment horizontal="left" vertical="center" wrapText="1"/>
    </xf>
    <xf numFmtId="49" fontId="141" fillId="0" borderId="3" xfId="22" applyNumberFormat="1" applyFont="1" applyFill="1" applyBorder="1" applyAlignment="1">
      <alignment horizontal="center" vertical="center" wrapText="1"/>
    </xf>
    <xf numFmtId="49" fontId="141" fillId="0" borderId="0" xfId="22" applyNumberFormat="1" applyFont="1" applyFill="1" applyBorder="1" applyAlignment="1">
      <alignment horizontal="center" vertical="center" wrapText="1"/>
    </xf>
    <xf numFmtId="14" fontId="141" fillId="0" borderId="3" xfId="22" applyNumberFormat="1" applyFont="1" applyFill="1" applyBorder="1" applyAlignment="1">
      <alignment horizontal="center" vertical="center" wrapText="1"/>
    </xf>
    <xf numFmtId="166" fontId="141" fillId="0" borderId="3" xfId="22" applyNumberFormat="1" applyFont="1" applyFill="1" applyBorder="1" applyAlignment="1">
      <alignment horizontal="center" vertical="center" wrapText="1"/>
    </xf>
    <xf numFmtId="2" fontId="141" fillId="0" borderId="3" xfId="22" applyNumberFormat="1" applyFont="1" applyFill="1" applyBorder="1" applyAlignment="1">
      <alignment horizontal="center" vertical="center" wrapText="1"/>
    </xf>
    <xf numFmtId="168" fontId="141" fillId="0" borderId="3" xfId="22" applyNumberFormat="1" applyFont="1" applyFill="1" applyBorder="1" applyAlignment="1">
      <alignment horizontal="center" vertical="center" wrapText="1"/>
    </xf>
    <xf numFmtId="164" fontId="141" fillId="0" borderId="3" xfId="32" applyFont="1" applyFill="1" applyBorder="1" applyAlignment="1">
      <alignment vertical="center" wrapText="1"/>
    </xf>
    <xf numFmtId="2" fontId="125" fillId="0" borderId="3" xfId="0" applyNumberFormat="1" applyFont="1" applyBorder="1" applyAlignment="1">
      <alignment horizontal="center" vertical="center" wrapText="1"/>
    </xf>
    <xf numFmtId="2" fontId="142" fillId="17" borderId="3" xfId="22" applyNumberFormat="1" applyFont="1" applyFill="1" applyBorder="1" applyAlignment="1">
      <alignment horizontal="center" vertical="center" wrapText="1"/>
    </xf>
    <xf numFmtId="14" fontId="143" fillId="0" borderId="3" xfId="22" applyNumberFormat="1" applyFont="1" applyFill="1" applyBorder="1" applyAlignment="1">
      <alignment horizontal="center" vertical="center" wrapText="1"/>
    </xf>
    <xf numFmtId="0" fontId="141" fillId="0" borderId="3" xfId="22" applyNumberFormat="1" applyFont="1" applyFill="1" applyBorder="1" applyAlignment="1">
      <alignment horizontal="center" vertical="center" wrapText="1"/>
    </xf>
    <xf numFmtId="2" fontId="40" fillId="18" borderId="3" xfId="0" applyNumberFormat="1" applyFont="1" applyFill="1" applyBorder="1" applyAlignment="1">
      <alignment horizontal="center" vertical="center" wrapText="1"/>
    </xf>
    <xf numFmtId="4" fontId="103" fillId="18" borderId="3" xfId="0" applyNumberFormat="1" applyFont="1" applyFill="1" applyBorder="1" applyAlignment="1">
      <alignment horizontal="center" vertical="center" wrapText="1"/>
    </xf>
    <xf numFmtId="4" fontId="40" fillId="18" borderId="3" xfId="0" applyNumberFormat="1" applyFont="1" applyFill="1" applyBorder="1" applyAlignment="1">
      <alignment horizontal="center" vertical="center" wrapText="1"/>
    </xf>
    <xf numFmtId="4" fontId="117" fillId="18" borderId="3" xfId="0" applyNumberFormat="1" applyFont="1" applyFill="1" applyBorder="1" applyAlignment="1">
      <alignment horizontal="center" vertical="center" wrapText="1"/>
    </xf>
    <xf numFmtId="4" fontId="121" fillId="18" borderId="3" xfId="0" applyNumberFormat="1" applyFont="1" applyFill="1" applyBorder="1" applyAlignment="1">
      <alignment horizontal="center" vertical="center" wrapText="1"/>
    </xf>
    <xf numFmtId="4" fontId="135" fillId="18" borderId="3" xfId="0" applyNumberFormat="1" applyFont="1" applyFill="1" applyBorder="1" applyAlignment="1">
      <alignment horizontal="center" vertical="center" wrapText="1"/>
    </xf>
    <xf numFmtId="4" fontId="134" fillId="18" borderId="3" xfId="0" applyNumberFormat="1" applyFont="1" applyFill="1" applyBorder="1" applyAlignment="1">
      <alignment horizontal="center" vertical="center" wrapText="1"/>
    </xf>
    <xf numFmtId="4" fontId="136" fillId="18" borderId="3" xfId="0" applyNumberFormat="1" applyFont="1" applyFill="1" applyBorder="1" applyAlignment="1">
      <alignment horizontal="center" vertical="center" wrapText="1"/>
    </xf>
    <xf numFmtId="4" fontId="137" fillId="18" borderId="4" xfId="0" applyNumberFormat="1" applyFont="1" applyFill="1" applyBorder="1" applyAlignment="1">
      <alignment horizontal="center" vertical="center" wrapText="1"/>
    </xf>
    <xf numFmtId="4" fontId="40" fillId="18" borderId="6" xfId="0" applyNumberFormat="1" applyFont="1" applyFill="1" applyBorder="1" applyAlignment="1">
      <alignment horizontal="center" vertical="center" wrapText="1"/>
    </xf>
    <xf numFmtId="2" fontId="117" fillId="18" borderId="3" xfId="0" applyNumberFormat="1" applyFont="1" applyFill="1" applyBorder="1" applyAlignment="1">
      <alignment horizontal="center" vertical="center" wrapText="1"/>
    </xf>
    <xf numFmtId="0" fontId="127" fillId="18" borderId="19" xfId="22" applyFont="1" applyFill="1" applyBorder="1" applyAlignment="1">
      <alignment horizontal="left" vertical="center" wrapText="1"/>
    </xf>
    <xf numFmtId="14" fontId="127" fillId="18" borderId="3" xfId="22" applyNumberFormat="1" applyFont="1" applyFill="1" applyBorder="1" applyAlignment="1">
      <alignment horizontal="center" vertical="center" wrapText="1"/>
    </xf>
    <xf numFmtId="166" fontId="127" fillId="18" borderId="3" xfId="22" applyNumberFormat="1" applyFont="1" applyFill="1" applyBorder="1" applyAlignment="1">
      <alignment horizontal="center" vertical="center" wrapText="1"/>
    </xf>
    <xf numFmtId="2" fontId="132" fillId="18" borderId="3" xfId="0" applyNumberFormat="1" applyFont="1" applyFill="1" applyBorder="1" applyAlignment="1">
      <alignment horizontal="center" vertical="center" wrapText="1"/>
    </xf>
    <xf numFmtId="4" fontId="140" fillId="18" borderId="3" xfId="0" applyNumberFormat="1" applyFont="1" applyFill="1" applyBorder="1" applyAlignment="1">
      <alignment horizontal="center" vertical="center" wrapText="1"/>
    </xf>
    <xf numFmtId="4" fontId="132" fillId="18" borderId="6" xfId="0" applyNumberFormat="1" applyFont="1" applyFill="1" applyBorder="1" applyAlignment="1">
      <alignment horizontal="center" vertical="center" wrapText="1"/>
    </xf>
    <xf numFmtId="0" fontId="127" fillId="18" borderId="19" xfId="22" applyNumberFormat="1" applyFont="1" applyFill="1" applyBorder="1" applyAlignment="1">
      <alignment horizontal="center" vertical="center" wrapText="1"/>
    </xf>
    <xf numFmtId="14" fontId="133" fillId="18" borderId="3" xfId="22" applyNumberFormat="1" applyFont="1" applyFill="1" applyBorder="1" applyAlignment="1">
      <alignment horizontal="center" vertical="center" wrapText="1"/>
    </xf>
    <xf numFmtId="0" fontId="127" fillId="18" borderId="19" xfId="22" applyFont="1" applyFill="1" applyBorder="1" applyAlignment="1">
      <alignment horizontal="center" vertical="center" wrapText="1"/>
    </xf>
    <xf numFmtId="0" fontId="127" fillId="0" borderId="19" xfId="22" applyFont="1" applyFill="1" applyBorder="1" applyAlignment="1">
      <alignment horizontal="left" vertical="center" wrapText="1"/>
    </xf>
    <xf numFmtId="14" fontId="127" fillId="0" borderId="3" xfId="22" applyNumberFormat="1" applyFont="1" applyFill="1" applyBorder="1" applyAlignment="1">
      <alignment horizontal="center" vertical="center" wrapText="1"/>
    </xf>
    <xf numFmtId="166" fontId="127" fillId="0" borderId="4" xfId="22" applyNumberFormat="1" applyFont="1" applyFill="1" applyBorder="1" applyAlignment="1">
      <alignment horizontal="center" vertical="center" wrapText="1"/>
    </xf>
    <xf numFmtId="4" fontId="121" fillId="0" borderId="0" xfId="0" applyNumberFormat="1" applyFont="1" applyBorder="1" applyAlignment="1">
      <alignment horizontal="center" vertical="center" wrapText="1"/>
    </xf>
    <xf numFmtId="4" fontId="137" fillId="0" borderId="4" xfId="0" applyNumberFormat="1" applyFont="1" applyBorder="1" applyAlignment="1">
      <alignment horizontal="center" vertical="center" wrapText="1"/>
    </xf>
    <xf numFmtId="4" fontId="123" fillId="0" borderId="3" xfId="0" applyNumberFormat="1" applyFont="1" applyBorder="1" applyAlignment="1">
      <alignment vertical="center"/>
    </xf>
    <xf numFmtId="4" fontId="40" fillId="0" borderId="6" xfId="0" applyNumberFormat="1" applyFont="1" applyBorder="1" applyAlignment="1">
      <alignment horizontal="center" vertical="center" wrapText="1"/>
    </xf>
    <xf numFmtId="2" fontId="127" fillId="18" borderId="0" xfId="22" applyNumberFormat="1" applyFont="1" applyFill="1" applyBorder="1" applyAlignment="1">
      <alignment horizontal="center" vertical="center" wrapText="1"/>
    </xf>
    <xf numFmtId="2" fontId="127" fillId="18" borderId="19" xfId="22" applyNumberFormat="1" applyFont="1" applyFill="1" applyBorder="1" applyAlignment="1">
      <alignment horizontal="center" vertical="center" wrapText="1"/>
    </xf>
    <xf numFmtId="0" fontId="94" fillId="18" borderId="19" xfId="22" applyFont="1" applyFill="1" applyBorder="1" applyAlignment="1">
      <alignment horizontal="left" vertical="center" wrapText="1"/>
    </xf>
    <xf numFmtId="4" fontId="132" fillId="22" borderId="0" xfId="0" applyNumberFormat="1" applyFont="1" applyFill="1" applyAlignment="1">
      <alignment horizontal="center" vertical="center" wrapText="1"/>
    </xf>
    <xf numFmtId="4" fontId="139" fillId="22" borderId="3" xfId="0" applyNumberFormat="1" applyFont="1" applyFill="1" applyBorder="1" applyAlignment="1">
      <alignment horizontal="center" vertical="center" wrapText="1"/>
    </xf>
    <xf numFmtId="4" fontId="125" fillId="22" borderId="3" xfId="0" applyNumberFormat="1" applyFont="1" applyFill="1" applyBorder="1" applyAlignment="1">
      <alignment horizontal="center" vertical="center" wrapText="1"/>
    </xf>
    <xf numFmtId="1" fontId="127" fillId="22" borderId="5" xfId="22" applyNumberFormat="1" applyFont="1" applyFill="1" applyBorder="1" applyAlignment="1">
      <alignment horizontal="center" vertical="center" wrapText="1"/>
    </xf>
    <xf numFmtId="0" fontId="127" fillId="23" borderId="19" xfId="22" applyFont="1" applyFill="1" applyBorder="1" applyAlignment="1">
      <alignment horizontal="left" vertical="center" wrapText="1"/>
    </xf>
    <xf numFmtId="0" fontId="127" fillId="23" borderId="19" xfId="22" applyFont="1" applyFill="1" applyBorder="1" applyAlignment="1">
      <alignment horizontal="center" vertical="center" wrapText="1"/>
    </xf>
    <xf numFmtId="0" fontId="127" fillId="23" borderId="3" xfId="22" applyFont="1" applyFill="1" applyBorder="1" applyAlignment="1">
      <alignment horizontal="center" vertical="center" wrapText="1"/>
    </xf>
    <xf numFmtId="1" fontId="127" fillId="23" borderId="20" xfId="22" applyNumberFormat="1" applyFont="1" applyFill="1" applyBorder="1" applyAlignment="1">
      <alignment horizontal="center" vertical="center" wrapText="1"/>
    </xf>
    <xf numFmtId="49" fontId="127" fillId="23" borderId="20" xfId="22" applyNumberFormat="1" applyFont="1" applyFill="1" applyBorder="1" applyAlignment="1">
      <alignment horizontal="center" vertical="center" wrapText="1"/>
    </xf>
    <xf numFmtId="14" fontId="127" fillId="23" borderId="3" xfId="22" applyNumberFormat="1" applyFont="1" applyFill="1" applyBorder="1" applyAlignment="1">
      <alignment horizontal="center" vertical="center" wrapText="1"/>
    </xf>
    <xf numFmtId="49" fontId="127" fillId="22" borderId="3" xfId="22" applyNumberFormat="1" applyFont="1" applyFill="1" applyBorder="1" applyAlignment="1">
      <alignment horizontal="center" vertical="center" wrapText="1"/>
    </xf>
    <xf numFmtId="14" fontId="127" fillId="22" borderId="3" xfId="22" applyNumberFormat="1" applyFont="1" applyFill="1" applyBorder="1" applyAlignment="1">
      <alignment horizontal="center" vertical="center" wrapText="1"/>
    </xf>
    <xf numFmtId="0" fontId="127" fillId="22" borderId="3" xfId="22" applyFont="1" applyFill="1" applyBorder="1" applyAlignment="1">
      <alignment horizontal="center" vertical="center" wrapText="1"/>
    </xf>
    <xf numFmtId="166" fontId="127" fillId="22" borderId="4" xfId="22" applyNumberFormat="1" applyFont="1" applyFill="1" applyBorder="1" applyAlignment="1">
      <alignment horizontal="center" vertical="center" wrapText="1"/>
    </xf>
    <xf numFmtId="2" fontId="127" fillId="22" borderId="4" xfId="22" applyNumberFormat="1" applyFont="1" applyFill="1" applyBorder="1" applyAlignment="1">
      <alignment horizontal="center" vertical="center" wrapText="1"/>
    </xf>
    <xf numFmtId="2" fontId="127" fillId="22" borderId="3" xfId="22" applyNumberFormat="1" applyFont="1" applyFill="1" applyBorder="1" applyAlignment="1">
      <alignment horizontal="center" vertical="center" wrapText="1"/>
    </xf>
    <xf numFmtId="164" fontId="127" fillId="22" borderId="3" xfId="32" applyFont="1" applyFill="1" applyBorder="1" applyAlignment="1">
      <alignment vertical="center" wrapText="1"/>
    </xf>
    <xf numFmtId="2" fontId="125" fillId="22" borderId="3" xfId="0" applyNumberFormat="1" applyFont="1" applyFill="1" applyBorder="1" applyAlignment="1">
      <alignment horizontal="center" vertical="center" wrapText="1"/>
    </xf>
    <xf numFmtId="2" fontId="132" fillId="22" borderId="3" xfId="0" applyNumberFormat="1" applyFont="1" applyFill="1" applyBorder="1" applyAlignment="1">
      <alignment horizontal="center" vertical="center" wrapText="1"/>
    </xf>
    <xf numFmtId="4" fontId="132" fillId="22" borderId="3" xfId="0" applyNumberFormat="1" applyFont="1" applyFill="1" applyBorder="1" applyAlignment="1">
      <alignment horizontal="center" vertical="center" wrapText="1"/>
    </xf>
    <xf numFmtId="4" fontId="129" fillId="22" borderId="0" xfId="0" applyNumberFormat="1" applyFont="1" applyFill="1" applyAlignment="1">
      <alignment wrapText="1"/>
    </xf>
    <xf numFmtId="4" fontId="130" fillId="22" borderId="0" xfId="0" applyNumberFormat="1" applyFont="1" applyFill="1" applyBorder="1" applyAlignment="1">
      <alignment horizontal="center" vertical="center" wrapText="1"/>
    </xf>
    <xf numFmtId="4" fontId="138" fillId="22" borderId="3" xfId="0" applyNumberFormat="1" applyFont="1" applyFill="1" applyBorder="1" applyAlignment="1">
      <alignment horizontal="center" vertical="center" wrapText="1"/>
    </xf>
    <xf numFmtId="4" fontId="130" fillId="22" borderId="3" xfId="0" applyNumberFormat="1" applyFont="1" applyFill="1" applyBorder="1" applyAlignment="1">
      <alignment horizontal="center" vertical="center" wrapText="1"/>
    </xf>
    <xf numFmtId="4" fontId="140" fillId="22" borderId="3" xfId="0" applyNumberFormat="1" applyFont="1" applyFill="1" applyBorder="1" applyAlignment="1">
      <alignment horizontal="center" vertical="center" wrapText="1"/>
    </xf>
    <xf numFmtId="4" fontId="131" fillId="22" borderId="4" xfId="0" applyNumberFormat="1" applyFont="1" applyFill="1" applyBorder="1" applyAlignment="1">
      <alignment horizontal="center" vertical="center" wrapText="1"/>
    </xf>
    <xf numFmtId="4" fontId="132" fillId="22" borderId="6" xfId="0" applyNumberFormat="1" applyFont="1" applyFill="1" applyBorder="1" applyAlignment="1">
      <alignment horizontal="center" vertical="center" wrapText="1"/>
    </xf>
    <xf numFmtId="2" fontId="128" fillId="22" borderId="3" xfId="22" applyNumberFormat="1" applyFont="1" applyFill="1" applyBorder="1" applyAlignment="1">
      <alignment horizontal="center" vertical="center" wrapText="1"/>
    </xf>
    <xf numFmtId="168" fontId="128" fillId="22" borderId="3" xfId="22" applyNumberFormat="1" applyFont="1" applyFill="1" applyBorder="1" applyAlignment="1">
      <alignment horizontal="center" vertical="center" wrapText="1"/>
    </xf>
    <xf numFmtId="14" fontId="133" fillId="22" borderId="3" xfId="22" applyNumberFormat="1" applyFont="1" applyFill="1" applyBorder="1" applyAlignment="1">
      <alignment horizontal="center" vertical="center" wrapText="1"/>
    </xf>
    <xf numFmtId="14" fontId="127" fillId="22" borderId="20" xfId="22" applyNumberFormat="1" applyFont="1" applyFill="1" applyBorder="1" applyAlignment="1">
      <alignment horizontal="center" vertical="center" wrapText="1"/>
    </xf>
    <xf numFmtId="2" fontId="108" fillId="18" borderId="0" xfId="0" applyNumberFormat="1" applyFont="1" applyFill="1" applyAlignment="1">
      <alignment wrapText="1"/>
    </xf>
    <xf numFmtId="0" fontId="127" fillId="0" borderId="19" xfId="22" applyFont="1" applyFill="1" applyBorder="1" applyAlignment="1">
      <alignment horizontal="center" vertical="center" wrapText="1"/>
    </xf>
    <xf numFmtId="2" fontId="127" fillId="0" borderId="4" xfId="22" applyNumberFormat="1" applyFont="1" applyFill="1" applyBorder="1" applyAlignment="1">
      <alignment horizontal="center" vertical="center" wrapText="1"/>
    </xf>
    <xf numFmtId="2" fontId="125" fillId="20" borderId="3" xfId="0" applyNumberFormat="1" applyFont="1" applyFill="1" applyBorder="1" applyAlignment="1">
      <alignment horizontal="center" vertical="center" wrapText="1"/>
    </xf>
    <xf numFmtId="2" fontId="132" fillId="20" borderId="3" xfId="0" applyNumberFormat="1" applyFont="1" applyFill="1" applyBorder="1" applyAlignment="1">
      <alignment horizontal="center" vertical="center" wrapText="1"/>
    </xf>
    <xf numFmtId="168" fontId="128" fillId="0" borderId="3" xfId="22" applyNumberFormat="1" applyFont="1" applyFill="1" applyBorder="1" applyAlignment="1">
      <alignment horizontal="center" vertical="center" wrapText="1"/>
    </xf>
    <xf numFmtId="4" fontId="68" fillId="18" borderId="0" xfId="0" applyNumberFormat="1" applyFont="1" applyFill="1" applyBorder="1" applyAlignment="1">
      <alignment horizontal="center" vertical="center" wrapText="1"/>
    </xf>
    <xf numFmtId="168" fontId="94" fillId="18" borderId="3" xfId="22" applyNumberFormat="1" applyFont="1" applyFill="1" applyBorder="1" applyAlignment="1">
      <alignment horizontal="center" vertical="center" wrapText="1"/>
    </xf>
    <xf numFmtId="4" fontId="61" fillId="18" borderId="19" xfId="0" applyNumberFormat="1" applyFont="1" applyFill="1" applyBorder="1" applyAlignment="1">
      <alignment horizontal="center" vertical="center" wrapText="1"/>
    </xf>
    <xf numFmtId="4" fontId="107" fillId="18" borderId="0" xfId="0" applyNumberFormat="1" applyFont="1" applyFill="1" applyAlignment="1">
      <alignment horizontal="center" vertical="center"/>
    </xf>
    <xf numFmtId="4" fontId="61" fillId="18" borderId="4" xfId="0" applyNumberFormat="1" applyFont="1" applyFill="1" applyBorder="1" applyAlignment="1">
      <alignment horizontal="center" vertical="center" wrapText="1"/>
    </xf>
    <xf numFmtId="4" fontId="61" fillId="18" borderId="6" xfId="0" applyNumberFormat="1" applyFont="1" applyFill="1" applyBorder="1" applyAlignment="1">
      <alignment horizontal="center" vertical="center" wrapText="1"/>
    </xf>
    <xf numFmtId="4" fontId="144" fillId="18" borderId="3" xfId="0" applyNumberFormat="1" applyFont="1" applyFill="1" applyBorder="1" applyAlignment="1">
      <alignment horizontal="center" vertical="center" wrapText="1"/>
    </xf>
    <xf numFmtId="1" fontId="94" fillId="18" borderId="3" xfId="22" applyNumberFormat="1" applyFont="1" applyFill="1" applyBorder="1" applyAlignment="1">
      <alignment horizontal="center" vertical="center" wrapText="1"/>
    </xf>
    <xf numFmtId="0" fontId="94" fillId="22" borderId="19" xfId="2" applyFont="1" applyFill="1" applyBorder="1" applyAlignment="1">
      <alignment horizontal="center" vertical="center" wrapText="1"/>
    </xf>
    <xf numFmtId="0" fontId="94" fillId="22" borderId="3" xfId="22" applyFont="1" applyFill="1" applyBorder="1" applyAlignment="1">
      <alignment horizontal="center" vertical="center" wrapText="1"/>
    </xf>
    <xf numFmtId="1" fontId="94" fillId="22" borderId="20" xfId="22" applyNumberFormat="1" applyFont="1" applyFill="1" applyBorder="1" applyAlignment="1">
      <alignment horizontal="center" vertical="center" wrapText="1"/>
    </xf>
    <xf numFmtId="49" fontId="94" fillId="22" borderId="20" xfId="22" applyNumberFormat="1" applyFont="1" applyFill="1" applyBorder="1" applyAlignment="1">
      <alignment horizontal="center" vertical="center" wrapText="1"/>
    </xf>
    <xf numFmtId="49" fontId="94" fillId="22" borderId="3" xfId="22" applyNumberFormat="1" applyFont="1" applyFill="1" applyBorder="1" applyAlignment="1">
      <alignment horizontal="center" vertical="center" wrapText="1"/>
    </xf>
    <xf numFmtId="14" fontId="94" fillId="22" borderId="3" xfId="22" applyNumberFormat="1" applyFont="1" applyFill="1" applyBorder="1" applyAlignment="1">
      <alignment horizontal="center" vertical="center" wrapText="1"/>
    </xf>
    <xf numFmtId="166" fontId="94" fillId="22" borderId="3" xfId="22" applyNumberFormat="1" applyFont="1" applyFill="1" applyBorder="1" applyAlignment="1">
      <alignment horizontal="center" vertical="center" wrapText="1"/>
    </xf>
    <xf numFmtId="164" fontId="94" fillId="22" borderId="3" xfId="32" applyFont="1" applyFill="1" applyBorder="1" applyAlignment="1">
      <alignment vertical="center" wrapText="1"/>
    </xf>
    <xf numFmtId="4" fontId="117" fillId="18" borderId="4" xfId="0" applyNumberFormat="1" applyFont="1" applyFill="1" applyBorder="1" applyAlignment="1">
      <alignment horizontal="center" vertical="center" wrapText="1"/>
    </xf>
    <xf numFmtId="4" fontId="117" fillId="18" borderId="6" xfId="0" applyNumberFormat="1" applyFont="1" applyFill="1" applyBorder="1" applyAlignment="1">
      <alignment horizontal="center" vertical="center" wrapText="1"/>
    </xf>
    <xf numFmtId="14" fontId="145" fillId="22" borderId="3" xfId="22" applyNumberFormat="1" applyFont="1" applyFill="1" applyBorder="1" applyAlignment="1">
      <alignment horizontal="center" vertical="center" wrapText="1"/>
    </xf>
    <xf numFmtId="0" fontId="94" fillId="22" borderId="19" xfId="22" applyNumberFormat="1" applyFont="1" applyFill="1" applyBorder="1" applyAlignment="1">
      <alignment horizontal="center" vertical="center" wrapText="1"/>
    </xf>
    <xf numFmtId="0" fontId="5" fillId="18" borderId="19" xfId="2" applyFont="1" applyFill="1" applyBorder="1" applyAlignment="1">
      <alignment horizontal="center" vertical="center" wrapText="1"/>
    </xf>
    <xf numFmtId="0" fontId="67" fillId="18" borderId="0" xfId="0" applyFont="1" applyFill="1" applyBorder="1" applyAlignment="1">
      <alignment vertical="center" wrapText="1"/>
    </xf>
    <xf numFmtId="173" fontId="5" fillId="0" borderId="19" xfId="32" applyNumberFormat="1" applyFont="1" applyFill="1" applyBorder="1" applyAlignment="1">
      <alignment horizontal="center" vertical="top" wrapText="1"/>
    </xf>
    <xf numFmtId="2" fontId="148" fillId="18" borderId="3" xfId="0" applyNumberFormat="1" applyFont="1" applyFill="1" applyBorder="1" applyAlignment="1">
      <alignment horizontal="center" vertical="center" wrapText="1"/>
    </xf>
    <xf numFmtId="0" fontId="147" fillId="0" borderId="0" xfId="0" applyFont="1" applyAlignment="1">
      <alignment horizontal="left" wrapText="1"/>
    </xf>
    <xf numFmtId="0" fontId="66" fillId="0" borderId="25" xfId="0" applyFont="1" applyBorder="1" applyAlignment="1">
      <alignment horizontal="left" wrapText="1"/>
    </xf>
    <xf numFmtId="0" fontId="66" fillId="0" borderId="0" xfId="0" applyFont="1" applyAlignment="1">
      <alignment horizontal="left" wrapText="1"/>
    </xf>
    <xf numFmtId="0" fontId="0" fillId="0" borderId="0" xfId="0" applyBorder="1" applyAlignment="1">
      <alignment horizontal="center" wrapText="1"/>
    </xf>
    <xf numFmtId="0" fontId="116" fillId="0" borderId="0" xfId="0" applyFont="1" applyAlignment="1">
      <alignment horizontal="left"/>
    </xf>
    <xf numFmtId="0" fontId="103" fillId="0" borderId="0" xfId="0" applyFont="1" applyAlignment="1">
      <alignment horizontal="left" wrapText="1"/>
    </xf>
    <xf numFmtId="0" fontId="120" fillId="0" borderId="0" xfId="0" applyFont="1" applyAlignment="1">
      <alignment horizontal="left" wrapText="1"/>
    </xf>
    <xf numFmtId="0" fontId="108" fillId="0" borderId="27" xfId="0" applyFont="1" applyBorder="1" applyAlignment="1">
      <alignment horizontal="left" wrapText="1"/>
    </xf>
    <xf numFmtId="0" fontId="108" fillId="0" borderId="0" xfId="0" applyFont="1" applyAlignment="1">
      <alignment horizontal="left" wrapText="1"/>
    </xf>
    <xf numFmtId="0" fontId="41" fillId="18" borderId="0" xfId="0" applyFont="1" applyFill="1"/>
    <xf numFmtId="0" fontId="5" fillId="18" borderId="0" xfId="22" applyFont="1" applyFill="1" applyAlignment="1">
      <alignment horizontal="center" vertical="center" wrapText="1"/>
    </xf>
    <xf numFmtId="2" fontId="5" fillId="18" borderId="6" xfId="22" applyNumberFormat="1" applyFont="1" applyFill="1" applyBorder="1" applyAlignment="1">
      <alignment horizontal="center" vertical="center" wrapText="1"/>
    </xf>
    <xf numFmtId="169" fontId="5" fillId="18" borderId="3" xfId="22" applyNumberFormat="1" applyFont="1" applyFill="1" applyBorder="1" applyAlignment="1">
      <alignment horizontal="center" vertical="center" wrapText="1"/>
    </xf>
    <xf numFmtId="172" fontId="5" fillId="18" borderId="19" xfId="22" applyNumberFormat="1" applyFont="1" applyFill="1" applyBorder="1" applyAlignment="1">
      <alignment horizontal="center" vertical="center" wrapText="1"/>
    </xf>
    <xf numFmtId="1" fontId="5" fillId="18" borderId="19" xfId="22" applyNumberFormat="1" applyFont="1" applyFill="1" applyBorder="1" applyAlignment="1">
      <alignment horizontal="left" vertical="center" wrapText="1"/>
    </xf>
    <xf numFmtId="1" fontId="5" fillId="18" borderId="19" xfId="22" applyNumberFormat="1" applyFont="1" applyFill="1" applyBorder="1" applyAlignment="1">
      <alignment horizontal="center" vertical="center" wrapText="1"/>
    </xf>
    <xf numFmtId="165" fontId="5" fillId="18" borderId="20" xfId="22" applyNumberFormat="1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horizontal="center" vertical="center" wrapText="1"/>
    </xf>
    <xf numFmtId="166" fontId="5" fillId="18" borderId="19" xfId="22" applyNumberFormat="1" applyFont="1" applyFill="1" applyBorder="1" applyAlignment="1">
      <alignment horizontal="left" vertical="center" wrapText="1"/>
    </xf>
    <xf numFmtId="166" fontId="5" fillId="18" borderId="21" xfId="22" applyNumberFormat="1" applyFont="1" applyFill="1" applyBorder="1" applyAlignment="1">
      <alignment horizontal="center" vertical="center" wrapText="1"/>
    </xf>
    <xf numFmtId="2" fontId="5" fillId="18" borderId="21" xfId="22" applyNumberFormat="1" applyFont="1" applyFill="1" applyBorder="1" applyAlignment="1">
      <alignment horizontal="center" vertical="center" wrapText="1"/>
    </xf>
    <xf numFmtId="166" fontId="5" fillId="18" borderId="19" xfId="22" applyNumberFormat="1" applyFont="1" applyFill="1" applyBorder="1" applyAlignment="1">
      <alignment horizontal="center" vertical="center" wrapText="1"/>
    </xf>
    <xf numFmtId="2" fontId="5" fillId="18" borderId="19" xfId="22" applyNumberFormat="1" applyFont="1" applyFill="1" applyBorder="1" applyAlignment="1">
      <alignment horizontal="center" vertical="center" wrapText="1"/>
    </xf>
    <xf numFmtId="0" fontId="5" fillId="18" borderId="21" xfId="22" applyFont="1" applyFill="1" applyBorder="1" applyAlignment="1">
      <alignment horizontal="left" vertical="center" wrapText="1"/>
    </xf>
    <xf numFmtId="14" fontId="5" fillId="18" borderId="5" xfId="22" applyNumberFormat="1" applyFont="1" applyFill="1" applyBorder="1" applyAlignment="1">
      <alignment horizontal="center" vertical="center" wrapText="1"/>
    </xf>
    <xf numFmtId="166" fontId="5" fillId="18" borderId="6" xfId="22" applyNumberFormat="1" applyFont="1" applyFill="1" applyBorder="1" applyAlignment="1">
      <alignment horizontal="center" vertical="center" wrapText="1"/>
    </xf>
    <xf numFmtId="14" fontId="38" fillId="18" borderId="3" xfId="22" applyNumberFormat="1" applyFont="1" applyFill="1" applyBorder="1" applyAlignment="1">
      <alignment horizontal="center" vertical="center" wrapText="1"/>
    </xf>
    <xf numFmtId="166" fontId="5" fillId="18" borderId="20" xfId="22" applyNumberFormat="1" applyFont="1" applyFill="1" applyBorder="1" applyAlignment="1">
      <alignment horizontal="center" vertical="center" wrapText="1"/>
    </xf>
    <xf numFmtId="170" fontId="5" fillId="18" borderId="20" xfId="22" applyNumberFormat="1" applyFont="1" applyFill="1" applyBorder="1" applyAlignment="1">
      <alignment horizontal="center" vertical="center" wrapText="1"/>
    </xf>
    <xf numFmtId="14" fontId="5" fillId="18" borderId="19" xfId="22" applyNumberFormat="1" applyFont="1" applyFill="1" applyBorder="1" applyAlignment="1">
      <alignment horizontal="center" vertical="center" wrapText="1"/>
    </xf>
    <xf numFmtId="49" fontId="5" fillId="18" borderId="19" xfId="22" applyNumberFormat="1" applyFont="1" applyFill="1" applyBorder="1" applyAlignment="1">
      <alignment horizontal="center" vertical="center" wrapText="1"/>
    </xf>
    <xf numFmtId="166" fontId="5" fillId="18" borderId="8" xfId="22" applyNumberFormat="1" applyFont="1" applyFill="1" applyBorder="1" applyAlignment="1">
      <alignment horizontal="center" vertical="center" wrapText="1"/>
    </xf>
    <xf numFmtId="0" fontId="5" fillId="18" borderId="23" xfId="22" applyNumberFormat="1" applyFont="1" applyFill="1" applyBorder="1" applyAlignment="1">
      <alignment horizontal="center" vertical="center" wrapText="1"/>
    </xf>
    <xf numFmtId="167" fontId="5" fillId="18" borderId="6" xfId="22" applyNumberFormat="1" applyFont="1" applyFill="1" applyBorder="1" applyAlignment="1">
      <alignment horizontal="center" vertical="center" wrapText="1"/>
    </xf>
    <xf numFmtId="164" fontId="5" fillId="18" borderId="3" xfId="32" applyFont="1" applyFill="1" applyBorder="1" applyAlignment="1">
      <alignment horizontal="center" vertical="center" wrapText="1"/>
    </xf>
    <xf numFmtId="14" fontId="5" fillId="18" borderId="0" xfId="0" applyNumberFormat="1" applyFont="1" applyFill="1" applyAlignment="1">
      <alignment horizontal="center" vertical="center" wrapText="1"/>
    </xf>
    <xf numFmtId="0" fontId="5" fillId="18" borderId="8" xfId="22" applyFont="1" applyFill="1" applyBorder="1" applyAlignment="1">
      <alignment horizontal="center" vertical="center" wrapText="1"/>
    </xf>
    <xf numFmtId="49" fontId="5" fillId="18" borderId="8" xfId="22" applyNumberFormat="1" applyFont="1" applyFill="1" applyBorder="1" applyAlignment="1">
      <alignment horizontal="center" vertical="center" wrapText="1"/>
    </xf>
    <xf numFmtId="14" fontId="5" fillId="18" borderId="8" xfId="22" applyNumberFormat="1" applyFont="1" applyFill="1" applyBorder="1" applyAlignment="1">
      <alignment horizontal="center" vertical="center" wrapText="1"/>
    </xf>
    <xf numFmtId="166" fontId="5" fillId="18" borderId="9" xfId="22" applyNumberFormat="1" applyFont="1" applyFill="1" applyBorder="1" applyAlignment="1">
      <alignment horizontal="center" vertical="center" wrapText="1"/>
    </xf>
    <xf numFmtId="2" fontId="5" fillId="18" borderId="9" xfId="22" applyNumberFormat="1" applyFont="1" applyFill="1" applyBorder="1" applyAlignment="1">
      <alignment horizontal="center" vertical="center" wrapText="1"/>
    </xf>
    <xf numFmtId="166" fontId="5" fillId="18" borderId="23" xfId="22" applyNumberFormat="1" applyFont="1" applyFill="1" applyBorder="1" applyAlignment="1">
      <alignment horizontal="left" vertical="center" wrapText="1"/>
    </xf>
    <xf numFmtId="1" fontId="5" fillId="18" borderId="5" xfId="22" applyNumberFormat="1" applyFont="1" applyFill="1" applyBorder="1" applyAlignment="1">
      <alignment horizontal="center" vertical="center" wrapText="1"/>
    </xf>
    <xf numFmtId="0" fontId="5" fillId="18" borderId="5" xfId="22" applyFont="1" applyFill="1" applyBorder="1" applyAlignment="1">
      <alignment vertical="center" wrapText="1"/>
    </xf>
    <xf numFmtId="0" fontId="5" fillId="18" borderId="5" xfId="2" applyFont="1" applyFill="1" applyBorder="1" applyAlignment="1">
      <alignment horizontal="center" vertical="center" wrapText="1"/>
    </xf>
    <xf numFmtId="164" fontId="5" fillId="18" borderId="5" xfId="32" applyFont="1" applyFill="1" applyBorder="1" applyAlignment="1">
      <alignment vertical="center" wrapText="1"/>
    </xf>
    <xf numFmtId="14" fontId="5" fillId="18" borderId="24" xfId="22" applyNumberFormat="1" applyFont="1" applyFill="1" applyBorder="1" applyAlignment="1">
      <alignment horizontal="center" vertical="center" wrapText="1"/>
    </xf>
    <xf numFmtId="2" fontId="5" fillId="18" borderId="20" xfId="22" applyNumberFormat="1" applyFont="1" applyFill="1" applyBorder="1" applyAlignment="1">
      <alignment horizontal="center" vertical="center" wrapText="1"/>
    </xf>
    <xf numFmtId="49" fontId="5" fillId="18" borderId="3" xfId="0" applyNumberFormat="1" applyFont="1" applyFill="1" applyBorder="1" applyAlignment="1">
      <alignment horizontal="center" vertical="center" wrapText="1"/>
    </xf>
    <xf numFmtId="1" fontId="5" fillId="18" borderId="3" xfId="22" applyNumberFormat="1" applyFont="1" applyFill="1" applyBorder="1" applyAlignment="1">
      <alignment horizontal="left" vertical="center" wrapText="1"/>
    </xf>
    <xf numFmtId="2" fontId="5" fillId="18" borderId="3" xfId="22" applyNumberFormat="1" applyFont="1" applyFill="1" applyBorder="1" applyAlignment="1">
      <alignment horizontal="center" vertical="center"/>
    </xf>
    <xf numFmtId="0" fontId="5" fillId="18" borderId="24" xfId="22" applyFont="1" applyFill="1" applyBorder="1" applyAlignment="1">
      <alignment horizontal="center" vertical="center" wrapText="1"/>
    </xf>
    <xf numFmtId="166" fontId="5" fillId="18" borderId="3" xfId="22" applyNumberFormat="1" applyFont="1" applyFill="1" applyBorder="1" applyAlignment="1">
      <alignment horizontal="left" vertical="center" wrapText="1"/>
    </xf>
    <xf numFmtId="49" fontId="5" fillId="18" borderId="7" xfId="22" applyNumberFormat="1" applyFont="1" applyFill="1" applyBorder="1" applyAlignment="1">
      <alignment horizontal="center" vertical="center" wrapText="1"/>
    </xf>
    <xf numFmtId="0" fontId="5" fillId="18" borderId="3" xfId="22" applyFont="1" applyFill="1" applyBorder="1" applyAlignment="1">
      <alignment vertical="center" wrapText="1"/>
    </xf>
    <xf numFmtId="14" fontId="5" fillId="18" borderId="22" xfId="22" applyNumberFormat="1" applyFont="1" applyFill="1" applyBorder="1" applyAlignment="1">
      <alignment horizontal="center" vertical="center" wrapText="1"/>
    </xf>
    <xf numFmtId="166" fontId="7" fillId="18" borderId="19" xfId="22" applyNumberFormat="1" applyFont="1" applyFill="1" applyBorder="1" applyAlignment="1">
      <alignment horizontal="center" vertical="center" wrapText="1"/>
    </xf>
    <xf numFmtId="0" fontId="5" fillId="18" borderId="23" xfId="22" applyFont="1" applyFill="1" applyBorder="1" applyAlignment="1">
      <alignment horizontal="center" vertical="center" wrapText="1"/>
    </xf>
    <xf numFmtId="2" fontId="5" fillId="18" borderId="3" xfId="0" applyNumberFormat="1" applyFont="1" applyFill="1" applyBorder="1" applyAlignment="1">
      <alignment horizontal="center" vertical="center" wrapText="1"/>
    </xf>
    <xf numFmtId="0" fontId="5" fillId="18" borderId="20" xfId="24" applyFont="1" applyFill="1" applyBorder="1" applyAlignment="1">
      <alignment horizontal="left" vertical="center" wrapText="1"/>
    </xf>
    <xf numFmtId="169" fontId="5" fillId="18" borderId="6" xfId="22" applyNumberFormat="1" applyFont="1" applyFill="1" applyBorder="1" applyAlignment="1">
      <alignment horizontal="center" vertical="center" wrapText="1"/>
    </xf>
    <xf numFmtId="0" fontId="5" fillId="18" borderId="3" xfId="0" applyFont="1" applyFill="1" applyBorder="1" applyAlignment="1">
      <alignment vertical="center" wrapText="1"/>
    </xf>
    <xf numFmtId="0" fontId="51" fillId="0" borderId="0" xfId="0" applyFont="1"/>
    <xf numFmtId="14" fontId="31" fillId="18" borderId="20" xfId="22" applyNumberFormat="1" applyFont="1" applyFill="1" applyBorder="1" applyAlignment="1">
      <alignment horizontal="center" vertical="center" wrapText="1"/>
    </xf>
    <xf numFmtId="165" fontId="5" fillId="18" borderId="3" xfId="22" applyNumberFormat="1" applyFont="1" applyFill="1" applyBorder="1" applyAlignment="1">
      <alignment horizontal="left" vertical="center" wrapText="1"/>
    </xf>
    <xf numFmtId="167" fontId="5" fillId="18" borderId="3" xfId="22" applyNumberFormat="1" applyFont="1" applyFill="1" applyBorder="1" applyAlignment="1">
      <alignment horizontal="center" vertical="center" wrapText="1"/>
    </xf>
    <xf numFmtId="49" fontId="6" fillId="18" borderId="3" xfId="22" applyNumberFormat="1" applyFont="1" applyFill="1" applyBorder="1" applyAlignment="1">
      <alignment horizontal="center" vertical="center" wrapText="1"/>
    </xf>
    <xf numFmtId="14" fontId="6" fillId="18" borderId="3" xfId="22" applyNumberFormat="1" applyFont="1" applyFill="1" applyBorder="1" applyAlignment="1">
      <alignment horizontal="center" vertical="center" wrapText="1"/>
    </xf>
    <xf numFmtId="166" fontId="6" fillId="18" borderId="3" xfId="22" applyNumberFormat="1" applyFont="1" applyFill="1" applyBorder="1" applyAlignment="1">
      <alignment horizontal="center" vertical="center" wrapText="1"/>
    </xf>
    <xf numFmtId="2" fontId="6" fillId="18" borderId="3" xfId="22" applyNumberFormat="1" applyFont="1" applyFill="1" applyBorder="1" applyAlignment="1">
      <alignment horizontal="center" vertical="center" wrapText="1"/>
    </xf>
    <xf numFmtId="168" fontId="6" fillId="18" borderId="3" xfId="22" applyNumberFormat="1" applyFont="1" applyFill="1" applyBorder="1" applyAlignment="1">
      <alignment horizontal="center" vertical="center" wrapText="1"/>
    </xf>
    <xf numFmtId="164" fontId="6" fillId="18" borderId="3" xfId="32" applyFont="1" applyFill="1" applyBorder="1" applyAlignment="1">
      <alignment vertical="center" wrapText="1"/>
    </xf>
    <xf numFmtId="14" fontId="35" fillId="18" borderId="3" xfId="22" applyNumberFormat="1" applyFont="1" applyFill="1" applyBorder="1" applyAlignment="1">
      <alignment horizontal="center" vertical="center" wrapText="1"/>
    </xf>
    <xf numFmtId="0" fontId="6" fillId="18" borderId="3" xfId="22" applyNumberFormat="1" applyFont="1" applyFill="1" applyBorder="1" applyAlignment="1">
      <alignment horizontal="center" vertical="center" wrapText="1"/>
    </xf>
    <xf numFmtId="14" fontId="31" fillId="18" borderId="0" xfId="22" applyNumberFormat="1" applyFont="1" applyFill="1" applyAlignment="1">
      <alignment horizontal="center" vertical="center" wrapText="1"/>
    </xf>
    <xf numFmtId="14" fontId="151" fillId="18" borderId="3" xfId="22" applyNumberFormat="1" applyFont="1" applyFill="1" applyBorder="1" applyAlignment="1">
      <alignment horizontal="center" vertical="center" wrapText="1"/>
    </xf>
    <xf numFmtId="0" fontId="6" fillId="18" borderId="0" xfId="0" applyFont="1" applyFill="1" applyBorder="1" applyAlignment="1">
      <alignment vertical="center" wrapText="1"/>
    </xf>
    <xf numFmtId="0" fontId="5" fillId="18" borderId="0" xfId="0" applyFont="1" applyFill="1" applyAlignment="1">
      <alignment wrapText="1"/>
    </xf>
    <xf numFmtId="0" fontId="34" fillId="18" borderId="3" xfId="22" applyFont="1" applyFill="1" applyBorder="1" applyAlignment="1">
      <alignment horizontal="center" vertical="center" wrapText="1"/>
    </xf>
    <xf numFmtId="0" fontId="7" fillId="18" borderId="3" xfId="22" applyFont="1" applyFill="1" applyBorder="1" applyAlignment="1">
      <alignment horizontal="left" vertical="center" wrapText="1"/>
    </xf>
    <xf numFmtId="170" fontId="58" fillId="18" borderId="3" xfId="0" applyNumberFormat="1" applyFont="1" applyFill="1" applyBorder="1" applyAlignment="1">
      <alignment horizontal="center" vertical="center" wrapText="1"/>
    </xf>
    <xf numFmtId="14" fontId="37" fillId="18" borderId="3" xfId="22" applyNumberFormat="1" applyFont="1" applyFill="1" applyBorder="1" applyAlignment="1">
      <alignment horizontal="center" vertical="center" wrapText="1"/>
    </xf>
    <xf numFmtId="49" fontId="41" fillId="18" borderId="0" xfId="0" applyNumberFormat="1" applyFont="1" applyFill="1" applyAlignment="1">
      <alignment wrapText="1"/>
    </xf>
    <xf numFmtId="14" fontId="74" fillId="18" borderId="3" xfId="22" applyNumberFormat="1" applyFont="1" applyFill="1" applyBorder="1" applyAlignment="1">
      <alignment horizontal="center" vertical="center" wrapText="1"/>
    </xf>
    <xf numFmtId="14" fontId="31" fillId="18" borderId="5" xfId="22" applyNumberFormat="1" applyFont="1" applyFill="1" applyBorder="1" applyAlignment="1">
      <alignment horizontal="center" vertical="center" wrapText="1"/>
    </xf>
    <xf numFmtId="49" fontId="37" fillId="18" borderId="3" xfId="22" applyNumberFormat="1" applyFont="1" applyFill="1" applyBorder="1" applyAlignment="1">
      <alignment horizontal="center" vertical="center" wrapText="1"/>
    </xf>
    <xf numFmtId="14" fontId="150" fillId="18" borderId="3" xfId="22" applyNumberFormat="1" applyFont="1" applyFill="1" applyBorder="1" applyAlignment="1">
      <alignment horizontal="center" vertical="center" wrapText="1"/>
    </xf>
    <xf numFmtId="169" fontId="5" fillId="18" borderId="0" xfId="0" applyNumberFormat="1" applyFont="1" applyFill="1" applyAlignment="1">
      <alignment horizontal="center" wrapText="1"/>
    </xf>
    <xf numFmtId="1" fontId="5" fillId="18" borderId="21" xfId="22" applyNumberFormat="1" applyFont="1" applyFill="1" applyBorder="1" applyAlignment="1">
      <alignment horizontal="left" vertical="center" wrapText="1"/>
    </xf>
    <xf numFmtId="164" fontId="41" fillId="18" borderId="3" xfId="32" applyFont="1" applyFill="1" applyBorder="1" applyAlignment="1">
      <alignment vertical="center" wrapText="1"/>
    </xf>
    <xf numFmtId="0" fontId="58" fillId="18" borderId="3" xfId="0" applyFont="1" applyFill="1" applyBorder="1" applyAlignment="1">
      <alignment horizontal="center" vertical="center" wrapText="1"/>
    </xf>
    <xf numFmtId="0" fontId="30" fillId="18" borderId="6" xfId="24" applyFont="1" applyFill="1" applyBorder="1" applyAlignment="1">
      <alignment horizontal="left" vertical="center" wrapText="1"/>
    </xf>
    <xf numFmtId="164" fontId="39" fillId="18" borderId="3" xfId="32" applyFont="1" applyFill="1" applyBorder="1" applyAlignment="1">
      <alignment vertical="center" wrapText="1"/>
    </xf>
    <xf numFmtId="170" fontId="148" fillId="18" borderId="3" xfId="0" applyNumberFormat="1" applyFont="1" applyFill="1" applyBorder="1" applyAlignment="1">
      <alignment horizontal="center" vertical="center" wrapText="1"/>
    </xf>
    <xf numFmtId="14" fontId="149" fillId="18" borderId="3" xfId="22" applyNumberFormat="1" applyFont="1" applyFill="1" applyBorder="1" applyAlignment="1">
      <alignment horizontal="center" vertical="center" wrapText="1"/>
    </xf>
    <xf numFmtId="14" fontId="39" fillId="18" borderId="3" xfId="22" applyNumberFormat="1" applyFont="1" applyFill="1" applyBorder="1" applyAlignment="1">
      <alignment horizontal="center" vertical="center" wrapText="1"/>
    </xf>
    <xf numFmtId="0" fontId="54" fillId="18" borderId="0" xfId="0" applyFont="1" applyFill="1" applyAlignment="1">
      <alignment wrapText="1"/>
    </xf>
    <xf numFmtId="14" fontId="41" fillId="18" borderId="3" xfId="0" applyNumberFormat="1" applyFont="1" applyFill="1" applyBorder="1" applyAlignment="1">
      <alignment horizontal="center" vertical="center" wrapText="1"/>
    </xf>
    <xf numFmtId="0" fontId="41" fillId="18" borderId="0" xfId="0" applyFont="1" applyFill="1" applyAlignment="1">
      <alignment horizontal="center" vertical="center" wrapText="1"/>
    </xf>
    <xf numFmtId="14" fontId="31" fillId="18" borderId="23" xfId="22" applyNumberFormat="1" applyFont="1" applyFill="1" applyBorder="1" applyAlignment="1">
      <alignment horizontal="center" vertical="center" wrapText="1"/>
    </xf>
    <xf numFmtId="0" fontId="5" fillId="18" borderId="0" xfId="0" applyFont="1" applyFill="1"/>
    <xf numFmtId="49" fontId="67" fillId="18" borderId="0" xfId="0" applyNumberFormat="1" applyFont="1" applyFill="1" applyAlignment="1">
      <alignment horizontal="center" vertical="center" wrapText="1"/>
    </xf>
    <xf numFmtId="0" fontId="67" fillId="18" borderId="0" xfId="0" applyFont="1" applyFill="1" applyAlignment="1">
      <alignment vertical="center" wrapText="1"/>
    </xf>
    <xf numFmtId="49" fontId="67" fillId="18" borderId="0" xfId="0" applyNumberFormat="1" applyFont="1" applyFill="1" applyAlignment="1">
      <alignment wrapText="1"/>
    </xf>
    <xf numFmtId="0" fontId="50" fillId="18" borderId="0" xfId="0" applyFont="1" applyFill="1" applyAlignment="1">
      <alignment wrapText="1"/>
    </xf>
    <xf numFmtId="0" fontId="67" fillId="18" borderId="0" xfId="0" applyFont="1" applyFill="1" applyAlignment="1">
      <alignment wrapText="1"/>
    </xf>
    <xf numFmtId="0" fontId="67" fillId="18" borderId="0" xfId="0" applyFont="1" applyFill="1" applyAlignment="1">
      <alignment horizontal="left" wrapText="1"/>
    </xf>
    <xf numFmtId="0" fontId="146" fillId="18" borderId="25" xfId="0" applyFont="1" applyFill="1" applyBorder="1" applyAlignment="1">
      <alignment horizontal="left" wrapText="1"/>
    </xf>
    <xf numFmtId="0" fontId="146" fillId="18" borderId="0" xfId="0" applyFont="1" applyFill="1" applyAlignment="1">
      <alignment horizontal="left" wrapText="1"/>
    </xf>
    <xf numFmtId="0" fontId="146" fillId="18" borderId="0" xfId="0" applyFont="1" applyFill="1" applyAlignment="1">
      <alignment wrapText="1"/>
    </xf>
    <xf numFmtId="1" fontId="41" fillId="18" borderId="0" xfId="0" applyNumberFormat="1" applyFont="1" applyFill="1" applyAlignment="1">
      <alignment wrapText="1"/>
    </xf>
    <xf numFmtId="0" fontId="85" fillId="18" borderId="0" xfId="0" applyFont="1" applyFill="1" applyAlignment="1">
      <alignment wrapText="1"/>
    </xf>
    <xf numFmtId="49" fontId="7" fillId="0" borderId="6" xfId="22" applyNumberFormat="1" applyFont="1" applyFill="1" applyBorder="1" applyAlignment="1">
      <alignment horizontal="center" vertical="center" wrapText="1"/>
    </xf>
    <xf numFmtId="0" fontId="101" fillId="0" borderId="0" xfId="0" applyFont="1"/>
    <xf numFmtId="49" fontId="127" fillId="18" borderId="3" xfId="2" applyNumberFormat="1" applyFont="1" applyFill="1" applyBorder="1" applyAlignment="1">
      <alignment horizontal="center" vertical="center" wrapText="1"/>
    </xf>
    <xf numFmtId="0" fontId="127" fillId="18" borderId="3" xfId="22" applyFont="1" applyFill="1" applyBorder="1" applyAlignment="1">
      <alignment horizontal="center" vertical="center" wrapText="1"/>
    </xf>
    <xf numFmtId="0" fontId="127" fillId="18" borderId="3" xfId="0" applyFont="1" applyFill="1" applyBorder="1" applyAlignment="1">
      <alignment horizontal="center" wrapText="1"/>
    </xf>
    <xf numFmtId="2" fontId="127" fillId="18" borderId="3" xfId="0" applyNumberFormat="1" applyFont="1" applyFill="1" applyBorder="1" applyAlignment="1">
      <alignment horizontal="center" vertical="center" wrapText="1"/>
    </xf>
    <xf numFmtId="0" fontId="127" fillId="18" borderId="3" xfId="0" applyFont="1" applyFill="1" applyBorder="1" applyAlignment="1">
      <alignment horizontal="center" wrapText="1"/>
    </xf>
    <xf numFmtId="14" fontId="127" fillId="18" borderId="3" xfId="22" applyNumberFormat="1" applyFont="1" applyFill="1" applyBorder="1" applyAlignment="1">
      <alignment horizontal="center" vertical="center" wrapText="1"/>
    </xf>
    <xf numFmtId="0" fontId="127" fillId="18" borderId="3" xfId="22" applyFont="1" applyFill="1" applyBorder="1" applyAlignment="1">
      <alignment horizontal="center" vertical="center" wrapText="1"/>
    </xf>
    <xf numFmtId="0" fontId="152" fillId="18" borderId="0" xfId="0" applyFont="1" applyFill="1" applyAlignment="1">
      <alignment horizontal="center"/>
    </xf>
    <xf numFmtId="2" fontId="127" fillId="18" borderId="3" xfId="0" applyNumberFormat="1" applyFont="1" applyFill="1" applyBorder="1" applyAlignment="1">
      <alignment horizontal="center" vertical="center" wrapText="1"/>
    </xf>
    <xf numFmtId="0" fontId="127" fillId="18" borderId="3" xfId="0" applyFont="1" applyFill="1" applyBorder="1" applyAlignment="1">
      <alignment horizontal="center" vertical="center" wrapText="1"/>
    </xf>
    <xf numFmtId="1" fontId="127" fillId="18" borderId="3" xfId="22" applyNumberFormat="1" applyFont="1" applyFill="1" applyBorder="1" applyAlignment="1">
      <alignment horizontal="center" vertical="center" wrapText="1"/>
    </xf>
    <xf numFmtId="0" fontId="127" fillId="18" borderId="5" xfId="22" applyFont="1" applyFill="1" applyBorder="1" applyAlignment="1">
      <alignment horizontal="center" vertical="center" wrapText="1"/>
    </xf>
    <xf numFmtId="0" fontId="127" fillId="18" borderId="19" xfId="22" applyFont="1" applyFill="1" applyBorder="1" applyAlignment="1">
      <alignment horizontal="center" vertical="center" wrapText="1"/>
    </xf>
  </cellXfs>
  <cellStyles count="33">
    <cellStyle name="Excel Built-in Normal" xfId="2"/>
    <cellStyle name="Акцент1 2" xfId="3"/>
    <cellStyle name="Акцент2 2" xfId="4"/>
    <cellStyle name="Акцент3 2" xfId="5"/>
    <cellStyle name="Акцент4 2" xfId="6"/>
    <cellStyle name="Акцент5 2" xfId="7"/>
    <cellStyle name="Акцент6 2" xfId="8"/>
    <cellStyle name="Ввод  2" xfId="9"/>
    <cellStyle name="Вывод 2" xfId="10"/>
    <cellStyle name="Вычисление 2" xfId="12"/>
    <cellStyle name="Вычисление 3" xfId="11"/>
    <cellStyle name="Денежный 2" xfId="13"/>
    <cellStyle name="Заголовок 1 2" xfId="14"/>
    <cellStyle name="Заголовок 2 2" xfId="15"/>
    <cellStyle name="Заголовок 3 2" xfId="16"/>
    <cellStyle name="Заголовок 4 2" xfId="17"/>
    <cellStyle name="Итог 2" xfId="18"/>
    <cellStyle name="Контрольная ячейка 2" xfId="31"/>
    <cellStyle name="Контрольная ячейка 3" xfId="19"/>
    <cellStyle name="Название 2" xfId="20"/>
    <cellStyle name="Нейтральный 2" xfId="21"/>
    <cellStyle name="Обычный" xfId="0" builtinId="0"/>
    <cellStyle name="Обычный 2" xfId="22"/>
    <cellStyle name="Обычный 3" xfId="23"/>
    <cellStyle name="Обычный 4" xfId="24"/>
    <cellStyle name="Обычный 5" xfId="1"/>
    <cellStyle name="Плохой 2" xfId="25"/>
    <cellStyle name="Пояснение 2" xfId="26"/>
    <cellStyle name="Примечание 2" xfId="27"/>
    <cellStyle name="Связанная ячейка 2" xfId="28"/>
    <cellStyle name="Текст предупреждения 2" xfId="29"/>
    <cellStyle name="Финансовый" xfId="32" builtinId="3"/>
    <cellStyle name="Хороший 2" xfId="3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371"/>
  <sheetViews>
    <sheetView tabSelected="1" zoomScale="60" zoomScaleNormal="60" workbookViewId="0">
      <pane ySplit="4" topLeftCell="A5" activePane="bottomLeft" state="frozen"/>
      <selection activeCell="L1" sqref="L1"/>
      <selection pane="bottomLeft" activeCell="AH9" sqref="AH9"/>
    </sheetView>
  </sheetViews>
  <sheetFormatPr defaultRowHeight="15" x14ac:dyDescent="0.25"/>
  <cols>
    <col min="1" max="1" width="9.42578125" bestFit="1" customWidth="1"/>
    <col min="2" max="2" width="28.7109375" customWidth="1"/>
    <col min="3" max="3" width="18.42578125" customWidth="1"/>
    <col min="4" max="4" width="31.5703125" customWidth="1"/>
    <col min="5" max="5" width="18.85546875" customWidth="1"/>
    <col min="6" max="6" width="18" hidden="1" customWidth="1"/>
    <col min="7" max="7" width="22" hidden="1" customWidth="1"/>
    <col min="8" max="8" width="17.7109375" hidden="1" customWidth="1"/>
    <col min="9" max="9" width="17.140625" hidden="1" customWidth="1"/>
    <col min="10" max="10" width="14.28515625" hidden="1" customWidth="1"/>
    <col min="11" max="11" width="19.5703125" customWidth="1"/>
    <col min="12" max="12" width="19" hidden="1" customWidth="1"/>
    <col min="13" max="13" width="16.5703125" hidden="1" customWidth="1"/>
    <col min="14" max="14" width="20.42578125" hidden="1" customWidth="1"/>
    <col min="15" max="15" width="18.85546875" hidden="1" customWidth="1"/>
    <col min="16" max="16" width="15" hidden="1" customWidth="1"/>
    <col min="17" max="17" width="16.42578125" customWidth="1"/>
    <col min="18" max="18" width="13.28515625" customWidth="1"/>
    <col min="19" max="19" width="18.42578125" customWidth="1"/>
    <col min="20" max="20" width="29.28515625" customWidth="1"/>
    <col min="21" max="21" width="14.28515625" hidden="1" customWidth="1"/>
    <col min="22" max="22" width="13.140625" hidden="1" customWidth="1"/>
    <col min="23" max="29" width="0" hidden="1" customWidth="1"/>
  </cols>
  <sheetData>
    <row r="1" spans="1:21" x14ac:dyDescent="0.25">
      <c r="A1" s="1361"/>
      <c r="B1" s="1361"/>
      <c r="C1" s="1361"/>
      <c r="D1" s="1361"/>
      <c r="E1" s="1361"/>
      <c r="F1" s="1361"/>
      <c r="G1" s="1361"/>
      <c r="H1" s="1361"/>
      <c r="I1" s="1361"/>
      <c r="J1" s="1361"/>
      <c r="K1" s="1361"/>
      <c r="L1" s="1361"/>
      <c r="M1" s="1361"/>
      <c r="N1" s="1361"/>
      <c r="O1" s="1361"/>
      <c r="P1" s="1361"/>
      <c r="Q1" s="1361"/>
      <c r="R1" s="1361"/>
      <c r="S1" s="1361"/>
      <c r="T1" s="1361"/>
      <c r="U1" s="1361"/>
    </row>
    <row r="2" spans="1:21" ht="23.25" x14ac:dyDescent="0.35">
      <c r="A2" s="1479" t="s">
        <v>3932</v>
      </c>
      <c r="B2" s="1479"/>
      <c r="C2" s="1479"/>
      <c r="D2" s="1479"/>
      <c r="E2" s="1479"/>
      <c r="F2" s="1479"/>
      <c r="G2" s="1479"/>
      <c r="H2" s="1479"/>
      <c r="I2" s="1479"/>
      <c r="J2" s="1479"/>
      <c r="K2" s="1479"/>
      <c r="L2" s="1479"/>
      <c r="M2" s="1479"/>
      <c r="N2" s="1479"/>
      <c r="O2" s="1479"/>
      <c r="P2" s="1479"/>
      <c r="Q2" s="1479"/>
      <c r="R2" s="1479"/>
      <c r="S2" s="1479"/>
      <c r="T2" s="1479"/>
      <c r="U2" s="1361"/>
    </row>
    <row r="3" spans="1:21" ht="19.5" customHeight="1" x14ac:dyDescent="0.3">
      <c r="A3" s="1482" t="s">
        <v>1876</v>
      </c>
      <c r="B3" s="1478" t="s">
        <v>1602</v>
      </c>
      <c r="C3" s="1478" t="s">
        <v>2291</v>
      </c>
      <c r="D3" s="1476"/>
      <c r="E3" s="1478" t="s">
        <v>1608</v>
      </c>
      <c r="F3" s="1476"/>
      <c r="G3" s="1476"/>
      <c r="H3" s="1474"/>
      <c r="I3" s="1474"/>
      <c r="J3" s="1483" t="s">
        <v>1612</v>
      </c>
      <c r="K3" s="1478" t="s">
        <v>1613</v>
      </c>
      <c r="L3" s="1474"/>
      <c r="M3" s="1483" t="s">
        <v>3928</v>
      </c>
      <c r="N3" s="1474"/>
      <c r="O3" s="1474"/>
      <c r="P3" s="1476"/>
      <c r="Q3" s="1481" t="s">
        <v>3929</v>
      </c>
      <c r="R3" s="1480" t="s">
        <v>1980</v>
      </c>
      <c r="S3" s="1477" t="s">
        <v>3930</v>
      </c>
      <c r="T3" s="1478" t="s">
        <v>3931</v>
      </c>
      <c r="U3" s="1361"/>
    </row>
    <row r="4" spans="1:21" s="1471" customFormat="1" ht="122.25" customHeight="1" x14ac:dyDescent="0.3">
      <c r="A4" s="1482"/>
      <c r="B4" s="1478"/>
      <c r="C4" s="1478"/>
      <c r="D4" s="1473" t="s">
        <v>1605</v>
      </c>
      <c r="E4" s="1478"/>
      <c r="F4" s="1472" t="s">
        <v>1883</v>
      </c>
      <c r="G4" s="1473" t="s">
        <v>1609</v>
      </c>
      <c r="H4" s="1279" t="s">
        <v>1610</v>
      </c>
      <c r="I4" s="1170" t="s">
        <v>1611</v>
      </c>
      <c r="J4" s="1484"/>
      <c r="K4" s="1478"/>
      <c r="L4" s="1177" t="s">
        <v>3339</v>
      </c>
      <c r="M4" s="1484"/>
      <c r="N4" s="1170" t="s">
        <v>1615</v>
      </c>
      <c r="O4" s="1178" t="s">
        <v>2098</v>
      </c>
      <c r="P4" s="1475" t="s">
        <v>3319</v>
      </c>
      <c r="Q4" s="1481"/>
      <c r="R4" s="1480"/>
      <c r="S4" s="1477"/>
      <c r="T4" s="1478"/>
      <c r="U4" s="1470" t="s">
        <v>1617</v>
      </c>
    </row>
    <row r="5" spans="1:21" ht="18.75" x14ac:dyDescent="0.25">
      <c r="A5" s="8">
        <v>1</v>
      </c>
      <c r="B5" s="35">
        <v>2</v>
      </c>
      <c r="C5" s="35">
        <v>2</v>
      </c>
      <c r="D5" s="35">
        <v>7</v>
      </c>
      <c r="E5" s="35">
        <v>5</v>
      </c>
      <c r="F5" s="35">
        <v>11</v>
      </c>
      <c r="G5" s="35">
        <v>12</v>
      </c>
      <c r="H5" s="35">
        <v>13</v>
      </c>
      <c r="I5" s="35">
        <v>14</v>
      </c>
      <c r="J5" s="35">
        <v>6</v>
      </c>
      <c r="K5" s="35">
        <v>7</v>
      </c>
      <c r="L5" s="35">
        <v>17</v>
      </c>
      <c r="M5" s="35">
        <v>8</v>
      </c>
      <c r="N5" s="35">
        <v>19</v>
      </c>
      <c r="O5" s="1356">
        <v>20</v>
      </c>
      <c r="P5" s="35">
        <v>21</v>
      </c>
      <c r="Q5" s="35">
        <v>9</v>
      </c>
      <c r="R5" s="35">
        <v>10</v>
      </c>
      <c r="S5" s="35">
        <v>16</v>
      </c>
      <c r="T5" s="9">
        <v>17</v>
      </c>
      <c r="U5" s="19">
        <v>45</v>
      </c>
    </row>
    <row r="6" spans="1:21" s="1367" customFormat="1" ht="56.25" x14ac:dyDescent="0.25">
      <c r="A6" s="8">
        <v>1</v>
      </c>
      <c r="B6" s="97" t="s">
        <v>0</v>
      </c>
      <c r="C6" s="8">
        <v>21560766</v>
      </c>
      <c r="D6" s="15" t="s">
        <v>2</v>
      </c>
      <c r="E6" s="14" t="s">
        <v>4</v>
      </c>
      <c r="F6" s="62"/>
      <c r="G6" s="14" t="s">
        <v>5</v>
      </c>
      <c r="H6" s="65" t="s">
        <v>6</v>
      </c>
      <c r="I6" s="14" t="s">
        <v>7</v>
      </c>
      <c r="J6" s="14" t="s">
        <v>8</v>
      </c>
      <c r="K6" s="90">
        <v>1.17E-2</v>
      </c>
      <c r="L6" s="68">
        <v>334.63</v>
      </c>
      <c r="M6" s="68">
        <v>39151.71</v>
      </c>
      <c r="N6" s="68" t="s">
        <v>9</v>
      </c>
      <c r="O6" s="367"/>
      <c r="P6" s="336">
        <f>M6*R6%</f>
        <v>2349.1025999999997</v>
      </c>
      <c r="Q6" s="336">
        <f t="shared" ref="Q6:Q29" si="0">P6</f>
        <v>2349.1025999999997</v>
      </c>
      <c r="R6" s="336">
        <v>6</v>
      </c>
      <c r="S6" s="308">
        <v>44510</v>
      </c>
      <c r="T6" s="91" t="s">
        <v>1619</v>
      </c>
      <c r="U6" s="62" t="s">
        <v>1620</v>
      </c>
    </row>
    <row r="7" spans="1:21" s="1367" customFormat="1" ht="37.5" x14ac:dyDescent="0.25">
      <c r="A7" s="8">
        <v>2</v>
      </c>
      <c r="B7" s="97" t="s">
        <v>0</v>
      </c>
      <c r="C7" s="8">
        <v>21560766</v>
      </c>
      <c r="D7" s="8" t="s">
        <v>10</v>
      </c>
      <c r="E7" s="63" t="s">
        <v>2783</v>
      </c>
      <c r="F7" s="81" t="s">
        <v>2784</v>
      </c>
      <c r="G7" s="93" t="s">
        <v>2782</v>
      </c>
      <c r="H7" s="1455" t="s">
        <v>1095</v>
      </c>
      <c r="I7" s="63" t="s">
        <v>2785</v>
      </c>
      <c r="J7" s="14" t="s">
        <v>8</v>
      </c>
      <c r="K7" s="90">
        <v>0.57389999999999997</v>
      </c>
      <c r="L7" s="68">
        <v>832.89</v>
      </c>
      <c r="M7" s="68">
        <v>4779955.71</v>
      </c>
      <c r="N7" s="68" t="s">
        <v>12</v>
      </c>
      <c r="O7" s="367"/>
      <c r="P7" s="336">
        <f>M7*R7%</f>
        <v>286797.34259999997</v>
      </c>
      <c r="Q7" s="336">
        <f t="shared" si="0"/>
        <v>286797.34259999997</v>
      </c>
      <c r="R7" s="336">
        <v>6</v>
      </c>
      <c r="S7" s="441" t="s">
        <v>1618</v>
      </c>
      <c r="T7" s="94" t="s">
        <v>1621</v>
      </c>
      <c r="U7" s="62" t="s">
        <v>1620</v>
      </c>
    </row>
    <row r="8" spans="1:21" s="1367" customFormat="1" ht="56.25" x14ac:dyDescent="0.25">
      <c r="A8" s="8">
        <v>3</v>
      </c>
      <c r="B8" s="103" t="s">
        <v>13</v>
      </c>
      <c r="C8" s="8">
        <v>21560766</v>
      </c>
      <c r="D8" s="8" t="s">
        <v>14</v>
      </c>
      <c r="E8" s="14" t="s">
        <v>2659</v>
      </c>
      <c r="F8" s="8" t="s">
        <v>1567</v>
      </c>
      <c r="G8" s="14" t="s">
        <v>16</v>
      </c>
      <c r="H8" s="65" t="s">
        <v>17</v>
      </c>
      <c r="I8" s="65" t="s">
        <v>2916</v>
      </c>
      <c r="J8" s="14" t="s">
        <v>8</v>
      </c>
      <c r="K8" s="87">
        <v>9.0800000000000006E-2</v>
      </c>
      <c r="L8" s="68">
        <v>1232.0899999999999</v>
      </c>
      <c r="M8" s="68">
        <f>L8*908</f>
        <v>1118737.72</v>
      </c>
      <c r="N8" s="68" t="s">
        <v>2385</v>
      </c>
      <c r="O8" s="367"/>
      <c r="P8" s="336">
        <f>M8*R8%</f>
        <v>67124.263200000001</v>
      </c>
      <c r="Q8" s="336">
        <f t="shared" si="0"/>
        <v>67124.263200000001</v>
      </c>
      <c r="R8" s="336">
        <v>6</v>
      </c>
      <c r="S8" s="1421">
        <v>45428</v>
      </c>
      <c r="T8" s="89" t="s">
        <v>1622</v>
      </c>
      <c r="U8" s="62" t="s">
        <v>1620</v>
      </c>
    </row>
    <row r="9" spans="1:21" s="1367" customFormat="1" ht="75" x14ac:dyDescent="0.25">
      <c r="A9" s="8">
        <v>4</v>
      </c>
      <c r="B9" s="103" t="s">
        <v>18</v>
      </c>
      <c r="C9" s="14" t="s">
        <v>2387</v>
      </c>
      <c r="D9" s="16" t="s">
        <v>19</v>
      </c>
      <c r="E9" s="14" t="s">
        <v>2660</v>
      </c>
      <c r="F9" s="65">
        <v>41817</v>
      </c>
      <c r="G9" s="14" t="s">
        <v>21</v>
      </c>
      <c r="H9" s="65" t="s">
        <v>17</v>
      </c>
      <c r="I9" s="14" t="s">
        <v>2916</v>
      </c>
      <c r="J9" s="14" t="s">
        <v>8</v>
      </c>
      <c r="K9" s="87">
        <v>6.7500000000000004E-2</v>
      </c>
      <c r="L9" s="68">
        <v>1232.0899999999999</v>
      </c>
      <c r="M9" s="68">
        <v>831660.75</v>
      </c>
      <c r="N9" s="68" t="s">
        <v>2388</v>
      </c>
      <c r="O9" s="367"/>
      <c r="P9" s="336">
        <f>M9*R9%</f>
        <v>49899.644999999997</v>
      </c>
      <c r="Q9" s="336">
        <f t="shared" si="0"/>
        <v>49899.644999999997</v>
      </c>
      <c r="R9" s="336">
        <v>6</v>
      </c>
      <c r="S9" s="1421">
        <v>45428</v>
      </c>
      <c r="T9" s="89" t="s">
        <v>1623</v>
      </c>
      <c r="U9" s="62" t="s">
        <v>1620</v>
      </c>
    </row>
    <row r="10" spans="1:21" s="1367" customFormat="1" ht="112.5" x14ac:dyDescent="0.25">
      <c r="A10" s="8">
        <v>5</v>
      </c>
      <c r="B10" s="97" t="s">
        <v>22</v>
      </c>
      <c r="C10" s="177" t="s">
        <v>1420</v>
      </c>
      <c r="D10" s="8" t="s">
        <v>24</v>
      </c>
      <c r="E10" s="14" t="s">
        <v>26</v>
      </c>
      <c r="F10" s="62"/>
      <c r="G10" s="14"/>
      <c r="H10" s="65" t="s">
        <v>27</v>
      </c>
      <c r="I10" s="14"/>
      <c r="J10" s="14" t="s">
        <v>8</v>
      </c>
      <c r="K10" s="14">
        <v>1.8789</v>
      </c>
      <c r="L10" s="14">
        <f>M10/18789</f>
        <v>328.71000000000004</v>
      </c>
      <c r="M10" s="68">
        <v>6176132.1900000004</v>
      </c>
      <c r="N10" s="14" t="s">
        <v>3416</v>
      </c>
      <c r="O10" s="367"/>
      <c r="P10" s="336">
        <f>M10*R10%</f>
        <v>432329.2533000001</v>
      </c>
      <c r="Q10" s="336">
        <f t="shared" si="0"/>
        <v>432329.2533000001</v>
      </c>
      <c r="R10" s="336">
        <v>7</v>
      </c>
      <c r="S10" s="308" t="s">
        <v>2564</v>
      </c>
      <c r="T10" s="14" t="s">
        <v>1625</v>
      </c>
      <c r="U10" s="62" t="s">
        <v>1626</v>
      </c>
    </row>
    <row r="11" spans="1:21" s="1367" customFormat="1" ht="112.5" x14ac:dyDescent="0.25">
      <c r="A11" s="8">
        <v>6</v>
      </c>
      <c r="B11" s="97" t="s">
        <v>28</v>
      </c>
      <c r="C11" s="177" t="s">
        <v>1420</v>
      </c>
      <c r="D11" s="8" t="s">
        <v>29</v>
      </c>
      <c r="E11" s="14" t="s">
        <v>26</v>
      </c>
      <c r="F11" s="62"/>
      <c r="G11" s="14"/>
      <c r="H11" s="65" t="s">
        <v>27</v>
      </c>
      <c r="I11" s="14"/>
      <c r="J11" s="14" t="s">
        <v>8</v>
      </c>
      <c r="K11" s="14">
        <v>0.1447</v>
      </c>
      <c r="L11" s="14">
        <v>328.7</v>
      </c>
      <c r="M11" s="68">
        <v>475628.89999999997</v>
      </c>
      <c r="N11" s="14"/>
      <c r="O11" s="367"/>
      <c r="P11" s="336">
        <f>M11*R11%</f>
        <v>33294.023000000001</v>
      </c>
      <c r="Q11" s="336">
        <f t="shared" si="0"/>
        <v>33294.023000000001</v>
      </c>
      <c r="R11" s="336">
        <v>7</v>
      </c>
      <c r="S11" s="308" t="s">
        <v>1624</v>
      </c>
      <c r="T11" s="14" t="s">
        <v>1625</v>
      </c>
      <c r="U11" s="62" t="s">
        <v>1626</v>
      </c>
    </row>
    <row r="12" spans="1:21" s="1367" customFormat="1" ht="112.5" x14ac:dyDescent="0.25">
      <c r="A12" s="8">
        <v>7</v>
      </c>
      <c r="B12" s="97" t="s">
        <v>28</v>
      </c>
      <c r="C12" s="177" t="s">
        <v>1420</v>
      </c>
      <c r="D12" s="8" t="s">
        <v>30</v>
      </c>
      <c r="E12" s="14" t="s">
        <v>26</v>
      </c>
      <c r="F12" s="62"/>
      <c r="G12" s="14"/>
      <c r="H12" s="65" t="s">
        <v>27</v>
      </c>
      <c r="I12" s="14"/>
      <c r="J12" s="14" t="s">
        <v>8</v>
      </c>
      <c r="K12" s="14">
        <v>9.7000000000000003E-3</v>
      </c>
      <c r="L12" s="14">
        <v>328.7</v>
      </c>
      <c r="M12" s="68">
        <v>31883.899999999998</v>
      </c>
      <c r="N12" s="14" t="s">
        <v>3415</v>
      </c>
      <c r="O12" s="367"/>
      <c r="P12" s="336">
        <f>M12*R12%</f>
        <v>2231.873</v>
      </c>
      <c r="Q12" s="336">
        <f t="shared" si="0"/>
        <v>2231.873</v>
      </c>
      <c r="R12" s="336">
        <v>7</v>
      </c>
      <c r="S12" s="308">
        <v>52698</v>
      </c>
      <c r="T12" s="14" t="s">
        <v>1625</v>
      </c>
      <c r="U12" s="62" t="s">
        <v>1626</v>
      </c>
    </row>
    <row r="13" spans="1:21" s="1367" customFormat="1" ht="112.5" x14ac:dyDescent="0.25">
      <c r="A13" s="8">
        <v>8</v>
      </c>
      <c r="B13" s="97" t="s">
        <v>28</v>
      </c>
      <c r="C13" s="177" t="s">
        <v>1420</v>
      </c>
      <c r="D13" s="8" t="s">
        <v>31</v>
      </c>
      <c r="E13" s="14" t="s">
        <v>26</v>
      </c>
      <c r="F13" s="62"/>
      <c r="G13" s="14"/>
      <c r="H13" s="65" t="s">
        <v>27</v>
      </c>
      <c r="I13" s="14"/>
      <c r="J13" s="14" t="s">
        <v>8</v>
      </c>
      <c r="K13" s="14">
        <v>4.7319000000000004</v>
      </c>
      <c r="L13" s="14">
        <f>M13/47319</f>
        <v>684.81999999999994</v>
      </c>
      <c r="M13" s="68">
        <v>32404997.579999998</v>
      </c>
      <c r="N13" s="14" t="s">
        <v>3414</v>
      </c>
      <c r="O13" s="367"/>
      <c r="P13" s="336">
        <f>M13*R13%</f>
        <v>1215187.4092499998</v>
      </c>
      <c r="Q13" s="336">
        <f t="shared" si="0"/>
        <v>1215187.4092499998</v>
      </c>
      <c r="R13" s="336">
        <v>3.75</v>
      </c>
      <c r="S13" s="308">
        <v>52698</v>
      </c>
      <c r="T13" s="50" t="s">
        <v>1628</v>
      </c>
      <c r="U13" s="1388" t="s">
        <v>1629</v>
      </c>
    </row>
    <row r="14" spans="1:21" s="1367" customFormat="1" ht="112.5" x14ac:dyDescent="0.25">
      <c r="A14" s="8">
        <v>9</v>
      </c>
      <c r="B14" s="97" t="s">
        <v>28</v>
      </c>
      <c r="C14" s="177" t="s">
        <v>1420</v>
      </c>
      <c r="D14" s="8" t="s">
        <v>32</v>
      </c>
      <c r="E14" s="14" t="s">
        <v>26</v>
      </c>
      <c r="F14" s="62"/>
      <c r="G14" s="14"/>
      <c r="H14" s="65" t="s">
        <v>27</v>
      </c>
      <c r="I14" s="14"/>
      <c r="J14" s="14" t="s">
        <v>8</v>
      </c>
      <c r="K14" s="14">
        <v>3.6299999999999999E-2</v>
      </c>
      <c r="L14" s="14">
        <v>684.8</v>
      </c>
      <c r="M14" s="68">
        <v>248582.39999999999</v>
      </c>
      <c r="N14" s="14"/>
      <c r="O14" s="367"/>
      <c r="P14" s="336">
        <f>M14*R14%</f>
        <v>12429.12</v>
      </c>
      <c r="Q14" s="336">
        <f t="shared" si="0"/>
        <v>12429.12</v>
      </c>
      <c r="R14" s="336">
        <v>5</v>
      </c>
      <c r="S14" s="308" t="s">
        <v>1627</v>
      </c>
      <c r="T14" s="50" t="s">
        <v>1628</v>
      </c>
      <c r="U14" s="1388" t="s">
        <v>1629</v>
      </c>
    </row>
    <row r="15" spans="1:21" s="1367" customFormat="1" ht="112.5" x14ac:dyDescent="0.25">
      <c r="A15" s="8">
        <v>10</v>
      </c>
      <c r="B15" s="97" t="s">
        <v>28</v>
      </c>
      <c r="C15" s="177" t="s">
        <v>1420</v>
      </c>
      <c r="D15" s="8" t="s">
        <v>33</v>
      </c>
      <c r="E15" s="14" t="s">
        <v>26</v>
      </c>
      <c r="F15" s="62"/>
      <c r="G15" s="14"/>
      <c r="H15" s="65" t="s">
        <v>27</v>
      </c>
      <c r="I15" s="14"/>
      <c r="J15" s="14" t="s">
        <v>8</v>
      </c>
      <c r="K15" s="14">
        <v>6.8999999999999999E-3</v>
      </c>
      <c r="L15" s="14">
        <v>684.8</v>
      </c>
      <c r="M15" s="68">
        <v>47251.199999999997</v>
      </c>
      <c r="N15" s="14"/>
      <c r="O15" s="367"/>
      <c r="P15" s="336">
        <f>M15*R15%</f>
        <v>2362.56</v>
      </c>
      <c r="Q15" s="336">
        <f t="shared" si="0"/>
        <v>2362.56</v>
      </c>
      <c r="R15" s="336">
        <v>5</v>
      </c>
      <c r="S15" s="308" t="s">
        <v>1627</v>
      </c>
      <c r="T15" s="50" t="s">
        <v>1628</v>
      </c>
      <c r="U15" s="1388" t="s">
        <v>1629</v>
      </c>
    </row>
    <row r="16" spans="1:21" s="1367" customFormat="1" ht="112.5" x14ac:dyDescent="0.25">
      <c r="A16" s="8">
        <v>11</v>
      </c>
      <c r="B16" s="97" t="s">
        <v>28</v>
      </c>
      <c r="C16" s="177" t="s">
        <v>1420</v>
      </c>
      <c r="D16" s="8" t="s">
        <v>34</v>
      </c>
      <c r="E16" s="14" t="s">
        <v>26</v>
      </c>
      <c r="F16" s="62"/>
      <c r="G16" s="14"/>
      <c r="H16" s="65" t="s">
        <v>27</v>
      </c>
      <c r="I16" s="14"/>
      <c r="J16" s="14" t="s">
        <v>8</v>
      </c>
      <c r="K16" s="14">
        <v>2.0799999999999999E-2</v>
      </c>
      <c r="L16" s="14">
        <v>684.8</v>
      </c>
      <c r="M16" s="68">
        <v>142438.39999999999</v>
      </c>
      <c r="N16" s="14"/>
      <c r="O16" s="367"/>
      <c r="P16" s="336">
        <f>M16*R16%</f>
        <v>7121.92</v>
      </c>
      <c r="Q16" s="336">
        <f t="shared" si="0"/>
        <v>7121.92</v>
      </c>
      <c r="R16" s="336">
        <v>5</v>
      </c>
      <c r="S16" s="308">
        <v>52698</v>
      </c>
      <c r="T16" s="50" t="s">
        <v>1628</v>
      </c>
      <c r="U16" s="1388" t="s">
        <v>1629</v>
      </c>
    </row>
    <row r="17" spans="1:21" s="1367" customFormat="1" ht="112.5" x14ac:dyDescent="0.25">
      <c r="A17" s="8">
        <v>12</v>
      </c>
      <c r="B17" s="97" t="s">
        <v>28</v>
      </c>
      <c r="C17" s="177" t="s">
        <v>1420</v>
      </c>
      <c r="D17" s="8" t="s">
        <v>35</v>
      </c>
      <c r="E17" s="14" t="s">
        <v>26</v>
      </c>
      <c r="F17" s="62"/>
      <c r="G17" s="14"/>
      <c r="H17" s="65" t="s">
        <v>27</v>
      </c>
      <c r="I17" s="14"/>
      <c r="J17" s="14" t="s">
        <v>8</v>
      </c>
      <c r="K17" s="14">
        <v>1.0500000000000001E-2</v>
      </c>
      <c r="L17" s="14">
        <v>684.8</v>
      </c>
      <c r="M17" s="68">
        <v>71904</v>
      </c>
      <c r="N17" s="14"/>
      <c r="O17" s="367"/>
      <c r="P17" s="336">
        <f>M17*R17%</f>
        <v>3595.2000000000003</v>
      </c>
      <c r="Q17" s="336">
        <f t="shared" si="0"/>
        <v>3595.2000000000003</v>
      </c>
      <c r="R17" s="336">
        <v>5</v>
      </c>
      <c r="S17" s="308" t="s">
        <v>1627</v>
      </c>
      <c r="T17" s="50" t="s">
        <v>1628</v>
      </c>
      <c r="U17" s="1388" t="s">
        <v>1629</v>
      </c>
    </row>
    <row r="18" spans="1:21" s="1367" customFormat="1" ht="112.5" x14ac:dyDescent="0.25">
      <c r="A18" s="8">
        <v>13</v>
      </c>
      <c r="B18" s="97" t="s">
        <v>28</v>
      </c>
      <c r="C18" s="177" t="s">
        <v>1420</v>
      </c>
      <c r="D18" s="8" t="s">
        <v>36</v>
      </c>
      <c r="E18" s="14" t="s">
        <v>26</v>
      </c>
      <c r="F18" s="62"/>
      <c r="G18" s="14"/>
      <c r="H18" s="65" t="s">
        <v>27</v>
      </c>
      <c r="I18" s="14"/>
      <c r="J18" s="14" t="s">
        <v>8</v>
      </c>
      <c r="K18" s="14">
        <v>1.72E-2</v>
      </c>
      <c r="L18" s="14">
        <v>684.8</v>
      </c>
      <c r="M18" s="68">
        <v>117785.59999999999</v>
      </c>
      <c r="N18" s="14"/>
      <c r="O18" s="367"/>
      <c r="P18" s="336">
        <f>M18*R18%</f>
        <v>5889.28</v>
      </c>
      <c r="Q18" s="336">
        <f t="shared" si="0"/>
        <v>5889.28</v>
      </c>
      <c r="R18" s="336">
        <v>5</v>
      </c>
      <c r="S18" s="308">
        <v>52698</v>
      </c>
      <c r="T18" s="50" t="s">
        <v>1628</v>
      </c>
      <c r="U18" s="1388" t="s">
        <v>1629</v>
      </c>
    </row>
    <row r="19" spans="1:21" s="1367" customFormat="1" ht="112.5" x14ac:dyDescent="0.25">
      <c r="A19" s="8">
        <v>14</v>
      </c>
      <c r="B19" s="97" t="s">
        <v>28</v>
      </c>
      <c r="C19" s="177" t="s">
        <v>1420</v>
      </c>
      <c r="D19" s="8" t="s">
        <v>37</v>
      </c>
      <c r="E19" s="14" t="s">
        <v>26</v>
      </c>
      <c r="F19" s="62"/>
      <c r="G19" s="14"/>
      <c r="H19" s="65" t="s">
        <v>27</v>
      </c>
      <c r="I19" s="14"/>
      <c r="J19" s="14" t="s">
        <v>8</v>
      </c>
      <c r="K19" s="14">
        <v>1.5599999999999999E-2</v>
      </c>
      <c r="L19" s="14">
        <v>684.8</v>
      </c>
      <c r="M19" s="68">
        <v>106828.79999999999</v>
      </c>
      <c r="N19" s="14"/>
      <c r="O19" s="367"/>
      <c r="P19" s="336">
        <f>M19*R19%</f>
        <v>5341.44</v>
      </c>
      <c r="Q19" s="336">
        <f t="shared" si="0"/>
        <v>5341.44</v>
      </c>
      <c r="R19" s="336">
        <v>5</v>
      </c>
      <c r="S19" s="308">
        <v>52698</v>
      </c>
      <c r="T19" s="50" t="s">
        <v>1628</v>
      </c>
      <c r="U19" s="1388" t="s">
        <v>1629</v>
      </c>
    </row>
    <row r="20" spans="1:21" s="1367" customFormat="1" ht="168.75" x14ac:dyDescent="0.25">
      <c r="A20" s="8">
        <v>15</v>
      </c>
      <c r="B20" s="103" t="s">
        <v>28</v>
      </c>
      <c r="C20" s="177" t="s">
        <v>1420</v>
      </c>
      <c r="D20" s="16" t="s">
        <v>38</v>
      </c>
      <c r="E20" s="50" t="s">
        <v>39</v>
      </c>
      <c r="F20" s="1388"/>
      <c r="G20" s="50"/>
      <c r="H20" s="1387" t="s">
        <v>27</v>
      </c>
      <c r="I20" s="50"/>
      <c r="J20" s="50" t="s">
        <v>8</v>
      </c>
      <c r="K20" s="1379">
        <v>6.1999999999999998E-3</v>
      </c>
      <c r="L20" s="14">
        <v>684.8</v>
      </c>
      <c r="M20" s="68">
        <v>42457.599999999999</v>
      </c>
      <c r="N20" s="68"/>
      <c r="O20" s="367"/>
      <c r="P20" s="336">
        <f>M20*R20%</f>
        <v>2122.88</v>
      </c>
      <c r="Q20" s="336">
        <f t="shared" si="0"/>
        <v>2122.88</v>
      </c>
      <c r="R20" s="336">
        <v>5</v>
      </c>
      <c r="S20" s="441" t="s">
        <v>1627</v>
      </c>
      <c r="T20" s="94" t="s">
        <v>1628</v>
      </c>
      <c r="U20" s="1388" t="s">
        <v>1629</v>
      </c>
    </row>
    <row r="21" spans="1:21" s="1367" customFormat="1" ht="168.75" x14ac:dyDescent="0.25">
      <c r="A21" s="8">
        <v>16</v>
      </c>
      <c r="B21" s="97" t="s">
        <v>28</v>
      </c>
      <c r="C21" s="14" t="s">
        <v>1420</v>
      </c>
      <c r="D21" s="16" t="s">
        <v>40</v>
      </c>
      <c r="E21" s="14" t="s">
        <v>41</v>
      </c>
      <c r="F21" s="62"/>
      <c r="G21" s="14"/>
      <c r="H21" s="65" t="s">
        <v>27</v>
      </c>
      <c r="I21" s="14"/>
      <c r="J21" s="14" t="s">
        <v>8</v>
      </c>
      <c r="K21" s="90">
        <v>2.5100000000000001E-2</v>
      </c>
      <c r="L21" s="14">
        <v>684.8</v>
      </c>
      <c r="M21" s="68">
        <v>171884.79999999999</v>
      </c>
      <c r="N21" s="68"/>
      <c r="O21" s="367"/>
      <c r="P21" s="336">
        <f>M21*R21%</f>
        <v>8594.24</v>
      </c>
      <c r="Q21" s="336">
        <f t="shared" si="0"/>
        <v>8594.24</v>
      </c>
      <c r="R21" s="336">
        <v>5</v>
      </c>
      <c r="S21" s="308">
        <v>52698</v>
      </c>
      <c r="T21" s="91" t="s">
        <v>1628</v>
      </c>
      <c r="U21" s="62" t="s">
        <v>1629</v>
      </c>
    </row>
    <row r="22" spans="1:21" s="1367" customFormat="1" ht="337.5" x14ac:dyDescent="0.25">
      <c r="A22" s="8">
        <v>17</v>
      </c>
      <c r="B22" s="97" t="s">
        <v>28</v>
      </c>
      <c r="C22" s="14" t="s">
        <v>1420</v>
      </c>
      <c r="D22" s="16" t="s">
        <v>30</v>
      </c>
      <c r="E22" s="14" t="s">
        <v>42</v>
      </c>
      <c r="F22" s="62"/>
      <c r="G22" s="14"/>
      <c r="H22" s="65" t="s">
        <v>27</v>
      </c>
      <c r="I22" s="14"/>
      <c r="J22" s="14" t="s">
        <v>8</v>
      </c>
      <c r="K22" s="90">
        <v>0.1799</v>
      </c>
      <c r="L22" s="14">
        <v>684.8</v>
      </c>
      <c r="M22" s="68">
        <v>1231955.2</v>
      </c>
      <c r="N22" s="8"/>
      <c r="O22" s="367"/>
      <c r="P22" s="336">
        <f>M22*R22%</f>
        <v>61597.760000000002</v>
      </c>
      <c r="Q22" s="336">
        <f t="shared" si="0"/>
        <v>61597.760000000002</v>
      </c>
      <c r="R22" s="336">
        <v>5</v>
      </c>
      <c r="S22" s="308">
        <v>52698</v>
      </c>
      <c r="T22" s="91" t="s">
        <v>1628</v>
      </c>
      <c r="U22" s="62" t="s">
        <v>1629</v>
      </c>
    </row>
    <row r="23" spans="1:21" s="1367" customFormat="1" ht="56.25" x14ac:dyDescent="0.25">
      <c r="A23" s="8">
        <v>18</v>
      </c>
      <c r="B23" s="103" t="s">
        <v>1983</v>
      </c>
      <c r="C23" s="14" t="s">
        <v>1421</v>
      </c>
      <c r="D23" s="16" t="s">
        <v>44</v>
      </c>
      <c r="E23" s="14" t="s">
        <v>2078</v>
      </c>
      <c r="F23" s="62" t="s">
        <v>2079</v>
      </c>
      <c r="G23" s="68" t="s">
        <v>2081</v>
      </c>
      <c r="H23" s="65" t="s">
        <v>2080</v>
      </c>
      <c r="I23" s="14"/>
      <c r="J23" s="14" t="s">
        <v>8</v>
      </c>
      <c r="K23" s="90">
        <v>8.0000000000000002E-3</v>
      </c>
      <c r="L23" s="68">
        <f>M23/K23/10000</f>
        <v>826.5200000000001</v>
      </c>
      <c r="M23" s="68">
        <v>66121.600000000006</v>
      </c>
      <c r="N23" s="68" t="s">
        <v>1984</v>
      </c>
      <c r="O23" s="367"/>
      <c r="P23" s="336">
        <f>M23*R23%</f>
        <v>7273.3760000000011</v>
      </c>
      <c r="Q23" s="336">
        <f t="shared" si="0"/>
        <v>7273.3760000000011</v>
      </c>
      <c r="R23" s="336">
        <v>11</v>
      </c>
      <c r="S23" s="1142" t="s">
        <v>2905</v>
      </c>
      <c r="T23" s="50" t="s">
        <v>1630</v>
      </c>
      <c r="U23" s="62" t="s">
        <v>1634</v>
      </c>
    </row>
    <row r="24" spans="1:21" s="1367" customFormat="1" ht="75" x14ac:dyDescent="0.25">
      <c r="A24" s="8">
        <v>19</v>
      </c>
      <c r="B24" s="103" t="s">
        <v>1983</v>
      </c>
      <c r="C24" s="14" t="s">
        <v>1421</v>
      </c>
      <c r="D24" s="16" t="s">
        <v>3272</v>
      </c>
      <c r="E24" s="85" t="s">
        <v>3275</v>
      </c>
      <c r="F24" s="86" t="s">
        <v>3276</v>
      </c>
      <c r="G24" s="1369" t="s">
        <v>3277</v>
      </c>
      <c r="H24" s="92">
        <v>43805</v>
      </c>
      <c r="I24" s="85"/>
      <c r="J24" s="14" t="s">
        <v>8</v>
      </c>
      <c r="K24" s="90">
        <v>0.22109999999999999</v>
      </c>
      <c r="L24" s="68">
        <f>M24/2211</f>
        <v>2258.81</v>
      </c>
      <c r="M24" s="68">
        <v>4994228.91</v>
      </c>
      <c r="N24" s="68" t="s">
        <v>3278</v>
      </c>
      <c r="O24" s="367"/>
      <c r="P24" s="336">
        <v>149826.87</v>
      </c>
      <c r="Q24" s="336">
        <f t="shared" si="0"/>
        <v>149826.87</v>
      </c>
      <c r="R24" s="336">
        <v>3</v>
      </c>
      <c r="S24" s="1142">
        <v>47443</v>
      </c>
      <c r="T24" s="50" t="s">
        <v>3279</v>
      </c>
      <c r="U24" s="62" t="s">
        <v>1679</v>
      </c>
    </row>
    <row r="25" spans="1:21" s="1367" customFormat="1" ht="56.25" x14ac:dyDescent="0.25">
      <c r="A25" s="8">
        <v>20</v>
      </c>
      <c r="B25" s="103" t="s">
        <v>46</v>
      </c>
      <c r="C25" s="14" t="s">
        <v>1422</v>
      </c>
      <c r="D25" s="16" t="s">
        <v>48</v>
      </c>
      <c r="E25" s="85" t="s">
        <v>51</v>
      </c>
      <c r="F25" s="86" t="s">
        <v>1423</v>
      </c>
      <c r="G25" s="85" t="s">
        <v>52</v>
      </c>
      <c r="H25" s="92" t="s">
        <v>1424</v>
      </c>
      <c r="I25" s="85"/>
      <c r="J25" s="14" t="s">
        <v>8</v>
      </c>
      <c r="K25" s="90">
        <v>0.96730000000000005</v>
      </c>
      <c r="L25" s="68">
        <v>208.16</v>
      </c>
      <c r="M25" s="68">
        <v>2013531.68</v>
      </c>
      <c r="N25" s="68" t="s">
        <v>53</v>
      </c>
      <c r="O25" s="367"/>
      <c r="P25" s="336">
        <f>M25*R25%</f>
        <v>80541.267200000002</v>
      </c>
      <c r="Q25" s="336">
        <f t="shared" si="0"/>
        <v>80541.267200000002</v>
      </c>
      <c r="R25" s="336">
        <v>4</v>
      </c>
      <c r="S25" s="308">
        <v>44706</v>
      </c>
      <c r="T25" s="91" t="s">
        <v>1631</v>
      </c>
      <c r="U25" s="62" t="s">
        <v>1632</v>
      </c>
    </row>
    <row r="26" spans="1:21" s="1367" customFormat="1" ht="187.5" x14ac:dyDescent="0.25">
      <c r="A26" s="8">
        <v>21</v>
      </c>
      <c r="B26" s="1422" t="s">
        <v>54</v>
      </c>
      <c r="C26" s="14" t="s">
        <v>1422</v>
      </c>
      <c r="D26" s="16" t="s">
        <v>55</v>
      </c>
      <c r="E26" s="14" t="s">
        <v>57</v>
      </c>
      <c r="F26" s="62"/>
      <c r="G26" s="14" t="s">
        <v>58</v>
      </c>
      <c r="H26" s="65" t="s">
        <v>59</v>
      </c>
      <c r="I26" s="14" t="s">
        <v>3887</v>
      </c>
      <c r="J26" s="15" t="s">
        <v>8</v>
      </c>
      <c r="K26" s="1423">
        <v>1.7600000000000001E-2</v>
      </c>
      <c r="L26" s="68">
        <v>931.19</v>
      </c>
      <c r="M26" s="68">
        <v>163889.44</v>
      </c>
      <c r="N26" s="68" t="s">
        <v>2259</v>
      </c>
      <c r="O26" s="367"/>
      <c r="P26" s="336">
        <f>M26*R26%</f>
        <v>6555.5776000000005</v>
      </c>
      <c r="Q26" s="336">
        <f t="shared" si="0"/>
        <v>6555.5776000000005</v>
      </c>
      <c r="R26" s="336">
        <v>4</v>
      </c>
      <c r="S26" s="441">
        <v>45011</v>
      </c>
      <c r="T26" s="1371" t="s">
        <v>1633</v>
      </c>
      <c r="U26" s="62" t="s">
        <v>1634</v>
      </c>
    </row>
    <row r="27" spans="1:21" s="1367" customFormat="1" ht="150" x14ac:dyDescent="0.25">
      <c r="A27" s="8">
        <v>22</v>
      </c>
      <c r="B27" s="103" t="s">
        <v>54</v>
      </c>
      <c r="C27" s="14" t="s">
        <v>1422</v>
      </c>
      <c r="D27" s="16" t="s">
        <v>60</v>
      </c>
      <c r="E27" s="14" t="s">
        <v>62</v>
      </c>
      <c r="F27" s="62" t="s">
        <v>1425</v>
      </c>
      <c r="G27" s="14" t="s">
        <v>63</v>
      </c>
      <c r="H27" s="65" t="s">
        <v>64</v>
      </c>
      <c r="I27" s="14" t="s">
        <v>3888</v>
      </c>
      <c r="J27" s="14" t="s">
        <v>8</v>
      </c>
      <c r="K27" s="90">
        <v>1.61E-2</v>
      </c>
      <c r="L27" s="68">
        <v>1318.74</v>
      </c>
      <c r="M27" s="68">
        <v>212317.14</v>
      </c>
      <c r="N27" s="68" t="s">
        <v>2262</v>
      </c>
      <c r="O27" s="367"/>
      <c r="P27" s="336">
        <f>M27*R27%</f>
        <v>8492.6856000000007</v>
      </c>
      <c r="Q27" s="336">
        <f t="shared" si="0"/>
        <v>8492.6856000000007</v>
      </c>
      <c r="R27" s="336">
        <v>4</v>
      </c>
      <c r="S27" s="441">
        <v>45011</v>
      </c>
      <c r="T27" s="94" t="s">
        <v>1633</v>
      </c>
      <c r="U27" s="62" t="s">
        <v>1634</v>
      </c>
    </row>
    <row r="28" spans="1:21" s="1367" customFormat="1" ht="93.75" x14ac:dyDescent="0.25">
      <c r="A28" s="8">
        <v>23</v>
      </c>
      <c r="B28" s="97" t="s">
        <v>66</v>
      </c>
      <c r="C28" s="8" t="s">
        <v>1426</v>
      </c>
      <c r="D28" s="8" t="s">
        <v>68</v>
      </c>
      <c r="E28" s="62" t="s">
        <v>2661</v>
      </c>
      <c r="F28" s="62"/>
      <c r="G28" s="62"/>
      <c r="H28" s="65" t="s">
        <v>70</v>
      </c>
      <c r="I28" s="62"/>
      <c r="J28" s="14" t="s">
        <v>8</v>
      </c>
      <c r="K28" s="90">
        <v>0.88029999999999997</v>
      </c>
      <c r="L28" s="68">
        <v>182.11</v>
      </c>
      <c r="M28" s="68">
        <v>1603114.33</v>
      </c>
      <c r="N28" s="68"/>
      <c r="O28" s="367"/>
      <c r="P28" s="336">
        <f>M28*R28%</f>
        <v>144280.28969999999</v>
      </c>
      <c r="Q28" s="336">
        <f t="shared" si="0"/>
        <v>144280.28969999999</v>
      </c>
      <c r="R28" s="336">
        <v>9</v>
      </c>
      <c r="S28" s="308" t="s">
        <v>2906</v>
      </c>
      <c r="T28" s="91" t="s">
        <v>1635</v>
      </c>
      <c r="U28" s="62" t="s">
        <v>1626</v>
      </c>
    </row>
    <row r="29" spans="1:21" s="1367" customFormat="1" ht="97.5" x14ac:dyDescent="0.25">
      <c r="A29" s="8">
        <v>24</v>
      </c>
      <c r="B29" s="508" t="s">
        <v>71</v>
      </c>
      <c r="C29" s="813" t="s">
        <v>1426</v>
      </c>
      <c r="D29" s="813" t="s">
        <v>72</v>
      </c>
      <c r="E29" s="1424" t="s">
        <v>2662</v>
      </c>
      <c r="F29" s="1424"/>
      <c r="G29" s="1424"/>
      <c r="H29" s="1425">
        <v>41513</v>
      </c>
      <c r="I29" s="1424"/>
      <c r="J29" s="159" t="s">
        <v>8</v>
      </c>
      <c r="K29" s="1426">
        <v>0.98340000000000005</v>
      </c>
      <c r="L29" s="1427">
        <v>182.11</v>
      </c>
      <c r="M29" s="1427">
        <v>1790869.7400000002</v>
      </c>
      <c r="N29" s="1428"/>
      <c r="O29" s="1429"/>
      <c r="P29" s="336">
        <f>M29*R29%</f>
        <v>161178.27660000001</v>
      </c>
      <c r="Q29" s="336">
        <f t="shared" si="0"/>
        <v>161178.27660000001</v>
      </c>
      <c r="R29" s="336">
        <v>9</v>
      </c>
      <c r="S29" s="1430">
        <v>45133</v>
      </c>
      <c r="T29" s="1431" t="s">
        <v>1635</v>
      </c>
      <c r="U29" s="1424" t="s">
        <v>1626</v>
      </c>
    </row>
    <row r="30" spans="1:21" s="1367" customFormat="1" ht="75" x14ac:dyDescent="0.25">
      <c r="A30" s="8">
        <v>25</v>
      </c>
      <c r="B30" s="97" t="s">
        <v>73</v>
      </c>
      <c r="C30" s="8">
        <v>21273392</v>
      </c>
      <c r="D30" s="8" t="s">
        <v>74</v>
      </c>
      <c r="E30" s="14" t="s">
        <v>2663</v>
      </c>
      <c r="F30" s="181" t="s">
        <v>1567</v>
      </c>
      <c r="G30" s="14" t="s">
        <v>76</v>
      </c>
      <c r="H30" s="65">
        <v>41887</v>
      </c>
      <c r="I30" s="65" t="s">
        <v>3712</v>
      </c>
      <c r="J30" s="14" t="s">
        <v>8</v>
      </c>
      <c r="K30" s="90">
        <v>0.47299999999999998</v>
      </c>
      <c r="L30" s="68">
        <f>M30/4730</f>
        <v>340.05</v>
      </c>
      <c r="M30" s="68">
        <v>1608436.5</v>
      </c>
      <c r="N30" s="68" t="s">
        <v>3575</v>
      </c>
      <c r="O30" s="367"/>
      <c r="P30" s="336">
        <v>112590.55</v>
      </c>
      <c r="Q30" s="336">
        <v>112590.55</v>
      </c>
      <c r="R30" s="336">
        <v>7</v>
      </c>
      <c r="S30" s="308">
        <v>45053</v>
      </c>
      <c r="T30" s="91" t="s">
        <v>1636</v>
      </c>
      <c r="U30" s="62" t="s">
        <v>1641</v>
      </c>
    </row>
    <row r="31" spans="1:21" s="1367" customFormat="1" ht="93.75" x14ac:dyDescent="0.25">
      <c r="A31" s="8">
        <v>26</v>
      </c>
      <c r="B31" s="97" t="s">
        <v>73</v>
      </c>
      <c r="C31" s="8" t="s">
        <v>1427</v>
      </c>
      <c r="D31" s="8" t="s">
        <v>80</v>
      </c>
      <c r="E31" s="14" t="s">
        <v>2664</v>
      </c>
      <c r="F31" s="62" t="s">
        <v>82</v>
      </c>
      <c r="G31" s="14" t="s">
        <v>83</v>
      </c>
      <c r="H31" s="65">
        <v>41564</v>
      </c>
      <c r="I31" s="14" t="s">
        <v>84</v>
      </c>
      <c r="J31" s="14" t="s">
        <v>8</v>
      </c>
      <c r="K31" s="90">
        <v>0.77659999999999996</v>
      </c>
      <c r="L31" s="68">
        <v>208.16</v>
      </c>
      <c r="M31" s="68">
        <v>1616570.56</v>
      </c>
      <c r="N31" s="8" t="s">
        <v>85</v>
      </c>
      <c r="O31" s="367"/>
      <c r="P31" s="336">
        <f>M31*R31%</f>
        <v>113159.93920000001</v>
      </c>
      <c r="Q31" s="336">
        <v>113159.93920000001</v>
      </c>
      <c r="R31" s="336">
        <v>7</v>
      </c>
      <c r="S31" s="308">
        <v>45224</v>
      </c>
      <c r="T31" s="14" t="s">
        <v>1638</v>
      </c>
      <c r="U31" s="62" t="s">
        <v>1632</v>
      </c>
    </row>
    <row r="32" spans="1:21" s="1367" customFormat="1" ht="93.75" x14ac:dyDescent="0.25">
      <c r="A32" s="8">
        <v>27</v>
      </c>
      <c r="B32" s="97" t="s">
        <v>73</v>
      </c>
      <c r="C32" s="8" t="s">
        <v>1427</v>
      </c>
      <c r="D32" s="8" t="s">
        <v>86</v>
      </c>
      <c r="E32" s="14" t="s">
        <v>89</v>
      </c>
      <c r="F32" s="62" t="s">
        <v>1428</v>
      </c>
      <c r="G32" s="62" t="s">
        <v>90</v>
      </c>
      <c r="H32" s="65" t="s">
        <v>1429</v>
      </c>
      <c r="I32" s="62"/>
      <c r="J32" s="14" t="s">
        <v>8</v>
      </c>
      <c r="K32" s="90">
        <v>7.7131999999999996</v>
      </c>
      <c r="L32" s="68">
        <v>240.69</v>
      </c>
      <c r="M32" s="68">
        <v>18564901.079999998</v>
      </c>
      <c r="N32" s="68" t="s">
        <v>91</v>
      </c>
      <c r="O32" s="367"/>
      <c r="P32" s="336">
        <f>M32*R32%</f>
        <v>928245.054</v>
      </c>
      <c r="Q32" s="336">
        <v>928245.054</v>
      </c>
      <c r="R32" s="336">
        <v>5</v>
      </c>
      <c r="S32" s="308" t="s">
        <v>2565</v>
      </c>
      <c r="T32" s="1368" t="s">
        <v>1640</v>
      </c>
      <c r="U32" s="62" t="s">
        <v>1641</v>
      </c>
    </row>
    <row r="33" spans="1:22" s="1367" customFormat="1" ht="112.5" x14ac:dyDescent="0.25">
      <c r="A33" s="8">
        <v>28</v>
      </c>
      <c r="B33" s="97" t="s">
        <v>73</v>
      </c>
      <c r="C33" s="8" t="s">
        <v>1427</v>
      </c>
      <c r="D33" s="8" t="s">
        <v>92</v>
      </c>
      <c r="E33" s="62" t="s">
        <v>95</v>
      </c>
      <c r="F33" s="62" t="s">
        <v>1428</v>
      </c>
      <c r="G33" s="62" t="s">
        <v>96</v>
      </c>
      <c r="H33" s="65" t="s">
        <v>1429</v>
      </c>
      <c r="I33" s="62" t="s">
        <v>3555</v>
      </c>
      <c r="J33" s="14" t="s">
        <v>8</v>
      </c>
      <c r="K33" s="90">
        <v>0.7913</v>
      </c>
      <c r="L33" s="68">
        <f>M33/7913</f>
        <v>233.41</v>
      </c>
      <c r="M33" s="68">
        <v>1846973.33</v>
      </c>
      <c r="N33" s="68" t="s">
        <v>3556</v>
      </c>
      <c r="O33" s="367"/>
      <c r="P33" s="336">
        <f>M33*R33%</f>
        <v>147757.8664</v>
      </c>
      <c r="Q33" s="336">
        <f>P33</f>
        <v>147757.8664</v>
      </c>
      <c r="R33" s="336">
        <v>8</v>
      </c>
      <c r="S33" s="308" t="s">
        <v>2565</v>
      </c>
      <c r="T33" s="14" t="s">
        <v>3557</v>
      </c>
      <c r="U33" s="62" t="s">
        <v>1797</v>
      </c>
    </row>
    <row r="34" spans="1:22" s="1367" customFormat="1" ht="75" x14ac:dyDescent="0.25">
      <c r="A34" s="8">
        <v>29</v>
      </c>
      <c r="B34" s="97" t="s">
        <v>104</v>
      </c>
      <c r="C34" s="8">
        <v>23138043</v>
      </c>
      <c r="D34" s="16" t="s">
        <v>106</v>
      </c>
      <c r="E34" s="1370" t="s">
        <v>2510</v>
      </c>
      <c r="F34" s="81" t="s">
        <v>1431</v>
      </c>
      <c r="G34" s="63">
        <v>18718356</v>
      </c>
      <c r="H34" s="93" t="s">
        <v>1432</v>
      </c>
      <c r="I34" s="63" t="s">
        <v>2511</v>
      </c>
      <c r="J34" s="14" t="s">
        <v>8</v>
      </c>
      <c r="K34" s="90">
        <v>2.2200000000000001E-2</v>
      </c>
      <c r="L34" s="68">
        <v>2043.23</v>
      </c>
      <c r="M34" s="68">
        <v>453597.06</v>
      </c>
      <c r="N34" s="105" t="s">
        <v>2389</v>
      </c>
      <c r="O34" s="367"/>
      <c r="P34" s="336">
        <f>M34*R34%</f>
        <v>54431.647199999999</v>
      </c>
      <c r="Q34" s="336">
        <f>P34</f>
        <v>54431.647199999999</v>
      </c>
      <c r="R34" s="336">
        <v>12</v>
      </c>
      <c r="S34" s="308">
        <v>44697</v>
      </c>
      <c r="T34" s="91" t="s">
        <v>1644</v>
      </c>
      <c r="U34" s="62" t="s">
        <v>1634</v>
      </c>
    </row>
    <row r="35" spans="1:22" s="1367" customFormat="1" ht="56.25" x14ac:dyDescent="0.25">
      <c r="A35" s="8">
        <v>30</v>
      </c>
      <c r="B35" s="97" t="s">
        <v>108</v>
      </c>
      <c r="C35" s="14">
        <v>23139574</v>
      </c>
      <c r="D35" s="8" t="s">
        <v>110</v>
      </c>
      <c r="E35" s="62" t="s">
        <v>113</v>
      </c>
      <c r="F35" s="62" t="s">
        <v>114</v>
      </c>
      <c r="G35" s="62" t="s">
        <v>115</v>
      </c>
      <c r="H35" s="65" t="s">
        <v>114</v>
      </c>
      <c r="I35" s="62" t="s">
        <v>116</v>
      </c>
      <c r="J35" s="14" t="s">
        <v>8</v>
      </c>
      <c r="K35" s="90">
        <v>5.4999999999999997E-3</v>
      </c>
      <c r="L35" s="68">
        <v>1716.69</v>
      </c>
      <c r="M35" s="163">
        <v>94417.95</v>
      </c>
      <c r="N35" s="105" t="s">
        <v>117</v>
      </c>
      <c r="O35" s="367"/>
      <c r="P35" s="336">
        <f>M35*R35%</f>
        <v>9913.8847499999993</v>
      </c>
      <c r="Q35" s="336">
        <f>P35</f>
        <v>9913.8847499999993</v>
      </c>
      <c r="R35" s="336">
        <v>10.5</v>
      </c>
      <c r="S35" s="308" t="s">
        <v>2556</v>
      </c>
      <c r="T35" s="91" t="s">
        <v>1645</v>
      </c>
      <c r="U35" s="62" t="s">
        <v>1629</v>
      </c>
    </row>
    <row r="36" spans="1:22" s="1367" customFormat="1" ht="56.25" x14ac:dyDescent="0.25">
      <c r="A36" s="8">
        <v>31</v>
      </c>
      <c r="B36" s="103" t="s">
        <v>108</v>
      </c>
      <c r="C36" s="14" t="s">
        <v>1433</v>
      </c>
      <c r="D36" s="16" t="s">
        <v>118</v>
      </c>
      <c r="E36" s="62" t="s">
        <v>121</v>
      </c>
      <c r="F36" s="62" t="s">
        <v>1434</v>
      </c>
      <c r="G36" s="62" t="s">
        <v>122</v>
      </c>
      <c r="H36" s="65" t="s">
        <v>123</v>
      </c>
      <c r="I36" s="62" t="s">
        <v>1435</v>
      </c>
      <c r="J36" s="14" t="s">
        <v>8</v>
      </c>
      <c r="K36" s="90">
        <v>2.3999999999999998E-3</v>
      </c>
      <c r="L36" s="68">
        <v>1716.69</v>
      </c>
      <c r="M36" s="68">
        <v>41200.559999999998</v>
      </c>
      <c r="N36" s="105" t="s">
        <v>124</v>
      </c>
      <c r="O36" s="367"/>
      <c r="P36" s="336">
        <f>M36*R36%</f>
        <v>3502.0475999999999</v>
      </c>
      <c r="Q36" s="336">
        <f>P36</f>
        <v>3502.0475999999999</v>
      </c>
      <c r="R36" s="336">
        <v>8.5</v>
      </c>
      <c r="S36" s="1432" t="s">
        <v>2568</v>
      </c>
      <c r="T36" s="91" t="s">
        <v>1646</v>
      </c>
      <c r="U36" s="62" t="s">
        <v>1629</v>
      </c>
    </row>
    <row r="37" spans="1:22" s="1367" customFormat="1" ht="56.25" x14ac:dyDescent="0.25">
      <c r="A37" s="8">
        <v>32</v>
      </c>
      <c r="B37" s="97" t="s">
        <v>125</v>
      </c>
      <c r="C37" s="14" t="s">
        <v>1436</v>
      </c>
      <c r="D37" s="16" t="s">
        <v>126</v>
      </c>
      <c r="E37" s="14" t="s">
        <v>3912</v>
      </c>
      <c r="F37" s="62" t="s">
        <v>1437</v>
      </c>
      <c r="G37" s="14" t="s">
        <v>3913</v>
      </c>
      <c r="H37" s="65" t="s">
        <v>131</v>
      </c>
      <c r="I37" s="14"/>
      <c r="J37" s="14" t="s">
        <v>8</v>
      </c>
      <c r="K37" s="90">
        <v>0.81389999999999996</v>
      </c>
      <c r="L37" s="68">
        <v>219.74</v>
      </c>
      <c r="M37" s="68">
        <v>1788463.86</v>
      </c>
      <c r="N37" s="68" t="s">
        <v>3910</v>
      </c>
      <c r="O37" s="367"/>
      <c r="P37" s="336">
        <f>M37*R37%</f>
        <v>143077.10880000002</v>
      </c>
      <c r="Q37" s="336">
        <v>143077.10880000002</v>
      </c>
      <c r="R37" s="336">
        <v>8</v>
      </c>
      <c r="S37" s="308" t="s">
        <v>2616</v>
      </c>
      <c r="T37" s="91" t="s">
        <v>1625</v>
      </c>
      <c r="U37" s="62" t="s">
        <v>1632</v>
      </c>
    </row>
    <row r="38" spans="1:22" s="1367" customFormat="1" ht="112.5" x14ac:dyDescent="0.25">
      <c r="A38" s="8">
        <v>33</v>
      </c>
      <c r="B38" s="103" t="s">
        <v>125</v>
      </c>
      <c r="C38" s="14" t="s">
        <v>1436</v>
      </c>
      <c r="D38" s="16" t="s">
        <v>3616</v>
      </c>
      <c r="E38" s="85" t="s">
        <v>3617</v>
      </c>
      <c r="F38" s="86" t="s">
        <v>3618</v>
      </c>
      <c r="G38" s="85" t="s">
        <v>3619</v>
      </c>
      <c r="H38" s="92">
        <v>43973</v>
      </c>
      <c r="I38" s="85"/>
      <c r="J38" s="14" t="s">
        <v>8</v>
      </c>
      <c r="K38" s="87">
        <v>0.30099999999999999</v>
      </c>
      <c r="L38" s="88">
        <f>M38/3010</f>
        <v>942.97</v>
      </c>
      <c r="M38" s="68">
        <v>2838339.7</v>
      </c>
      <c r="N38" s="68" t="s">
        <v>3620</v>
      </c>
      <c r="O38" s="367"/>
      <c r="P38" s="336">
        <f>M38*R38%</f>
        <v>227067.17600000001</v>
      </c>
      <c r="Q38" s="336">
        <v>138559.78</v>
      </c>
      <c r="R38" s="336">
        <v>8</v>
      </c>
      <c r="S38" s="308">
        <v>44970</v>
      </c>
      <c r="T38" s="89" t="s">
        <v>1647</v>
      </c>
      <c r="U38" s="62" t="s">
        <v>1634</v>
      </c>
    </row>
    <row r="39" spans="1:22" s="1367" customFormat="1" ht="112.5" x14ac:dyDescent="0.25">
      <c r="A39" s="8">
        <v>34</v>
      </c>
      <c r="B39" s="103" t="s">
        <v>125</v>
      </c>
      <c r="C39" s="14" t="s">
        <v>1436</v>
      </c>
      <c r="D39" s="16" t="s">
        <v>3621</v>
      </c>
      <c r="E39" s="85" t="s">
        <v>3622</v>
      </c>
      <c r="F39" s="86" t="s">
        <v>3618</v>
      </c>
      <c r="G39" s="85" t="s">
        <v>3623</v>
      </c>
      <c r="H39" s="92">
        <v>43973</v>
      </c>
      <c r="I39" s="85"/>
      <c r="J39" s="14" t="s">
        <v>8</v>
      </c>
      <c r="K39" s="87">
        <v>0.1918</v>
      </c>
      <c r="L39" s="88">
        <f>M39/1918</f>
        <v>942.97</v>
      </c>
      <c r="M39" s="68">
        <v>1808616.46</v>
      </c>
      <c r="N39" s="105" t="s">
        <v>3624</v>
      </c>
      <c r="O39" s="367"/>
      <c r="P39" s="336">
        <f>M39*R39%</f>
        <v>144689.3168</v>
      </c>
      <c r="Q39" s="336">
        <v>88291.58</v>
      </c>
      <c r="R39" s="336">
        <v>8</v>
      </c>
      <c r="S39" s="308">
        <v>44970</v>
      </c>
      <c r="T39" s="89" t="s">
        <v>1647</v>
      </c>
      <c r="U39" s="62" t="s">
        <v>1634</v>
      </c>
      <c r="V39" s="384" t="s">
        <v>3509</v>
      </c>
    </row>
    <row r="40" spans="1:22" s="1367" customFormat="1" ht="56.25" x14ac:dyDescent="0.25">
      <c r="A40" s="8">
        <v>35</v>
      </c>
      <c r="B40" s="103" t="s">
        <v>125</v>
      </c>
      <c r="C40" s="14" t="s">
        <v>1436</v>
      </c>
      <c r="D40" s="16" t="s">
        <v>3019</v>
      </c>
      <c r="E40" s="63" t="s">
        <v>3022</v>
      </c>
      <c r="F40" s="81" t="s">
        <v>3023</v>
      </c>
      <c r="G40" s="63" t="s">
        <v>3024</v>
      </c>
      <c r="H40" s="93">
        <v>43759</v>
      </c>
      <c r="I40" s="63"/>
      <c r="J40" s="14" t="s">
        <v>8</v>
      </c>
      <c r="K40" s="87">
        <v>8.0000000000000002E-3</v>
      </c>
      <c r="L40" s="88">
        <f>M40/80</f>
        <v>2043.23</v>
      </c>
      <c r="M40" s="68">
        <v>163458.4</v>
      </c>
      <c r="N40" s="105" t="s">
        <v>3025</v>
      </c>
      <c r="O40" s="367"/>
      <c r="P40" s="336">
        <v>13076.67</v>
      </c>
      <c r="Q40" s="336">
        <v>13076.67</v>
      </c>
      <c r="R40" s="336">
        <v>8</v>
      </c>
      <c r="S40" s="441">
        <v>44795</v>
      </c>
      <c r="T40" s="89" t="s">
        <v>3026</v>
      </c>
      <c r="U40" s="62" t="s">
        <v>1634</v>
      </c>
    </row>
    <row r="41" spans="1:22" s="1367" customFormat="1" ht="75" x14ac:dyDescent="0.25">
      <c r="A41" s="8">
        <v>36</v>
      </c>
      <c r="B41" s="103" t="s">
        <v>125</v>
      </c>
      <c r="C41" s="14" t="s">
        <v>1436</v>
      </c>
      <c r="D41" s="16" t="s">
        <v>3027</v>
      </c>
      <c r="E41" s="63" t="s">
        <v>3029</v>
      </c>
      <c r="F41" s="81" t="s">
        <v>3023</v>
      </c>
      <c r="G41" s="63" t="s">
        <v>3030</v>
      </c>
      <c r="H41" s="93">
        <v>43759</v>
      </c>
      <c r="I41" s="63"/>
      <c r="J41" s="14" t="s">
        <v>8</v>
      </c>
      <c r="K41" s="87">
        <v>8.3699999999999997E-2</v>
      </c>
      <c r="L41" s="88">
        <f>M41/837</f>
        <v>2043.23</v>
      </c>
      <c r="M41" s="68">
        <v>1710183.51</v>
      </c>
      <c r="N41" s="105" t="s">
        <v>3031</v>
      </c>
      <c r="O41" s="367"/>
      <c r="P41" s="336">
        <f>M41*R41%</f>
        <v>136814.6808</v>
      </c>
      <c r="Q41" s="336">
        <f t="shared" ref="Q41:Q56" si="1">P41</f>
        <v>136814.6808</v>
      </c>
      <c r="R41" s="336">
        <v>8</v>
      </c>
      <c r="S41" s="441">
        <v>44795</v>
      </c>
      <c r="T41" s="89" t="s">
        <v>3037</v>
      </c>
      <c r="U41" s="62" t="s">
        <v>1634</v>
      </c>
    </row>
    <row r="42" spans="1:22" s="1367" customFormat="1" ht="93.75" x14ac:dyDescent="0.25">
      <c r="A42" s="8">
        <v>37</v>
      </c>
      <c r="B42" s="103" t="s">
        <v>125</v>
      </c>
      <c r="C42" s="14" t="s">
        <v>1436</v>
      </c>
      <c r="D42" s="16" t="s">
        <v>3032</v>
      </c>
      <c r="E42" s="63" t="s">
        <v>3034</v>
      </c>
      <c r="F42" s="81" t="s">
        <v>3023</v>
      </c>
      <c r="G42" s="63" t="s">
        <v>3035</v>
      </c>
      <c r="H42" s="93">
        <v>43759</v>
      </c>
      <c r="I42" s="63"/>
      <c r="J42" s="14" t="s">
        <v>8</v>
      </c>
      <c r="K42" s="87">
        <v>3.8199999999999998E-2</v>
      </c>
      <c r="L42" s="88">
        <f>M42/382</f>
        <v>2043.23</v>
      </c>
      <c r="M42" s="68">
        <v>780513.86</v>
      </c>
      <c r="N42" s="105" t="s">
        <v>3036</v>
      </c>
      <c r="O42" s="367"/>
      <c r="P42" s="336">
        <f>M42*R42%</f>
        <v>78051.385999999999</v>
      </c>
      <c r="Q42" s="336">
        <f t="shared" si="1"/>
        <v>78051.385999999999</v>
      </c>
      <c r="R42" s="336">
        <v>10</v>
      </c>
      <c r="S42" s="441">
        <v>44795</v>
      </c>
      <c r="T42" s="89" t="s">
        <v>3038</v>
      </c>
      <c r="U42" s="62" t="s">
        <v>1634</v>
      </c>
    </row>
    <row r="43" spans="1:22" s="1367" customFormat="1" ht="37.5" x14ac:dyDescent="0.25">
      <c r="A43" s="8">
        <v>38</v>
      </c>
      <c r="B43" s="393" t="s">
        <v>135</v>
      </c>
      <c r="C43" s="14" t="s">
        <v>1438</v>
      </c>
      <c r="D43" s="16" t="s">
        <v>3908</v>
      </c>
      <c r="E43" s="63" t="s">
        <v>2876</v>
      </c>
      <c r="F43" s="81" t="s">
        <v>2863</v>
      </c>
      <c r="G43" s="63" t="s">
        <v>2877</v>
      </c>
      <c r="H43" s="93" t="s">
        <v>2870</v>
      </c>
      <c r="I43" s="63"/>
      <c r="J43" s="14" t="s">
        <v>8</v>
      </c>
      <c r="K43" s="90">
        <v>1.7600000000000001E-2</v>
      </c>
      <c r="L43" s="68">
        <f>M43/176</f>
        <v>451.15</v>
      </c>
      <c r="M43" s="68">
        <v>79402.399999999994</v>
      </c>
      <c r="N43" s="105" t="s">
        <v>2217</v>
      </c>
      <c r="O43" s="367"/>
      <c r="P43" s="336">
        <f>M43*R43%</f>
        <v>9528.2879999999986</v>
      </c>
      <c r="Q43" s="336">
        <f t="shared" si="1"/>
        <v>9528.2879999999986</v>
      </c>
      <c r="R43" s="336">
        <v>12</v>
      </c>
      <c r="S43" s="441">
        <v>44000</v>
      </c>
      <c r="T43" s="94" t="s">
        <v>1648</v>
      </c>
      <c r="U43" s="395" t="s">
        <v>1626</v>
      </c>
    </row>
    <row r="44" spans="1:22" s="1367" customFormat="1" ht="37.5" x14ac:dyDescent="0.25">
      <c r="A44" s="8">
        <v>39</v>
      </c>
      <c r="B44" s="103" t="s">
        <v>135</v>
      </c>
      <c r="C44" s="14" t="s">
        <v>1438</v>
      </c>
      <c r="D44" s="16" t="s">
        <v>3907</v>
      </c>
      <c r="E44" s="63" t="s">
        <v>2871</v>
      </c>
      <c r="F44" s="62" t="s">
        <v>2863</v>
      </c>
      <c r="G44" s="63" t="s">
        <v>2872</v>
      </c>
      <c r="H44" s="93" t="s">
        <v>2870</v>
      </c>
      <c r="I44" s="63"/>
      <c r="J44" s="14" t="s">
        <v>8</v>
      </c>
      <c r="K44" s="90">
        <v>1.2500000000000001E-2</v>
      </c>
      <c r="L44" s="68">
        <f>M44/125</f>
        <v>512.91</v>
      </c>
      <c r="M44" s="68">
        <v>64113.75</v>
      </c>
      <c r="N44" s="105" t="s">
        <v>2215</v>
      </c>
      <c r="O44" s="367"/>
      <c r="P44" s="336">
        <f>M44*R44%</f>
        <v>7693.65</v>
      </c>
      <c r="Q44" s="336">
        <f t="shared" si="1"/>
        <v>7693.65</v>
      </c>
      <c r="R44" s="336">
        <v>12</v>
      </c>
      <c r="S44" s="441">
        <v>44000</v>
      </c>
      <c r="T44" s="50" t="s">
        <v>1649</v>
      </c>
      <c r="U44" s="395" t="s">
        <v>1626</v>
      </c>
    </row>
    <row r="45" spans="1:22" s="1367" customFormat="1" ht="37.5" x14ac:dyDescent="0.25">
      <c r="A45" s="8">
        <v>40</v>
      </c>
      <c r="B45" s="393" t="s">
        <v>135</v>
      </c>
      <c r="C45" s="14" t="s">
        <v>1438</v>
      </c>
      <c r="D45" s="16" t="s">
        <v>139</v>
      </c>
      <c r="E45" s="15" t="s">
        <v>2868</v>
      </c>
      <c r="F45" s="62" t="s">
        <v>2863</v>
      </c>
      <c r="G45" s="15" t="s">
        <v>2867</v>
      </c>
      <c r="H45" s="65">
        <v>42576</v>
      </c>
      <c r="I45" s="15"/>
      <c r="J45" s="15" t="s">
        <v>8</v>
      </c>
      <c r="K45" s="90">
        <v>1.83E-2</v>
      </c>
      <c r="L45" s="68">
        <f>M45/183</f>
        <v>419.96</v>
      </c>
      <c r="M45" s="68">
        <v>76852.679999999993</v>
      </c>
      <c r="N45" s="105" t="s">
        <v>2211</v>
      </c>
      <c r="O45" s="367"/>
      <c r="P45" s="336">
        <f>M45*R45%</f>
        <v>9222.3215999999993</v>
      </c>
      <c r="Q45" s="336">
        <f t="shared" si="1"/>
        <v>9222.3215999999993</v>
      </c>
      <c r="R45" s="336">
        <v>12</v>
      </c>
      <c r="S45" s="441">
        <v>44000</v>
      </c>
      <c r="T45" s="1371" t="s">
        <v>1650</v>
      </c>
      <c r="U45" s="395" t="s">
        <v>1626</v>
      </c>
    </row>
    <row r="46" spans="1:22" s="1367" customFormat="1" ht="37.5" x14ac:dyDescent="0.25">
      <c r="A46" s="8">
        <v>41</v>
      </c>
      <c r="B46" s="1372" t="s">
        <v>135</v>
      </c>
      <c r="C46" s="14" t="s">
        <v>1438</v>
      </c>
      <c r="D46" s="16" t="s">
        <v>140</v>
      </c>
      <c r="E46" s="8" t="s">
        <v>2874</v>
      </c>
      <c r="F46" s="62" t="s">
        <v>2863</v>
      </c>
      <c r="G46" s="8" t="s">
        <v>2875</v>
      </c>
      <c r="H46" s="65" t="s">
        <v>2870</v>
      </c>
      <c r="I46" s="8"/>
      <c r="J46" s="8" t="s">
        <v>8</v>
      </c>
      <c r="K46" s="90">
        <v>1.38E-2</v>
      </c>
      <c r="L46" s="68">
        <f>M46/138</f>
        <v>370.38</v>
      </c>
      <c r="M46" s="68">
        <v>51112.44</v>
      </c>
      <c r="N46" s="105" t="s">
        <v>2213</v>
      </c>
      <c r="O46" s="367"/>
      <c r="P46" s="336">
        <f>M46*R46%</f>
        <v>6133.4928</v>
      </c>
      <c r="Q46" s="336">
        <f t="shared" si="1"/>
        <v>6133.4928</v>
      </c>
      <c r="R46" s="336">
        <v>12</v>
      </c>
      <c r="S46" s="441">
        <v>44000</v>
      </c>
      <c r="T46" s="1373" t="s">
        <v>1651</v>
      </c>
      <c r="U46" s="395" t="s">
        <v>1626</v>
      </c>
    </row>
    <row r="47" spans="1:22" s="1367" customFormat="1" ht="37.5" x14ac:dyDescent="0.25">
      <c r="A47" s="8">
        <v>42</v>
      </c>
      <c r="B47" s="393" t="s">
        <v>135</v>
      </c>
      <c r="C47" s="14" t="s">
        <v>1438</v>
      </c>
      <c r="D47" s="16" t="s">
        <v>141</v>
      </c>
      <c r="E47" s="8" t="s">
        <v>2890</v>
      </c>
      <c r="F47" s="62" t="s">
        <v>2863</v>
      </c>
      <c r="G47" s="1374" t="s">
        <v>2891</v>
      </c>
      <c r="H47" s="93" t="s">
        <v>2870</v>
      </c>
      <c r="I47" s="1374"/>
      <c r="J47" s="15" t="s">
        <v>8</v>
      </c>
      <c r="K47" s="90">
        <v>8.0999999999999996E-3</v>
      </c>
      <c r="L47" s="68">
        <f>M47/81</f>
        <v>170.42000000000002</v>
      </c>
      <c r="M47" s="68">
        <v>13804.02</v>
      </c>
      <c r="N47" s="105" t="s">
        <v>2216</v>
      </c>
      <c r="O47" s="367"/>
      <c r="P47" s="336">
        <f>M47*R47%</f>
        <v>1656.4824000000001</v>
      </c>
      <c r="Q47" s="336">
        <f t="shared" si="1"/>
        <v>1656.4824000000001</v>
      </c>
      <c r="R47" s="336">
        <v>12</v>
      </c>
      <c r="S47" s="441">
        <v>44000</v>
      </c>
      <c r="T47" s="1371" t="s">
        <v>1652</v>
      </c>
      <c r="U47" s="395" t="s">
        <v>1626</v>
      </c>
    </row>
    <row r="48" spans="1:22" s="1367" customFormat="1" ht="37.5" x14ac:dyDescent="0.25">
      <c r="A48" s="8">
        <v>43</v>
      </c>
      <c r="B48" s="393" t="s">
        <v>135</v>
      </c>
      <c r="C48" s="14" t="s">
        <v>1438</v>
      </c>
      <c r="D48" s="16" t="s">
        <v>143</v>
      </c>
      <c r="E48" s="1374" t="s">
        <v>2888</v>
      </c>
      <c r="F48" s="62" t="s">
        <v>2863</v>
      </c>
      <c r="G48" s="1374" t="s">
        <v>2889</v>
      </c>
      <c r="H48" s="93" t="s">
        <v>2870</v>
      </c>
      <c r="I48" s="1374"/>
      <c r="J48" s="15" t="s">
        <v>8</v>
      </c>
      <c r="K48" s="90">
        <v>1.12E-2</v>
      </c>
      <c r="L48" s="68">
        <f>M48/112</f>
        <v>242.1</v>
      </c>
      <c r="M48" s="68">
        <v>27115.200000000001</v>
      </c>
      <c r="N48" s="105" t="s">
        <v>2219</v>
      </c>
      <c r="O48" s="367"/>
      <c r="P48" s="336">
        <f>M48*R48%</f>
        <v>3253.8240000000001</v>
      </c>
      <c r="Q48" s="336">
        <f t="shared" si="1"/>
        <v>3253.8240000000001</v>
      </c>
      <c r="R48" s="336">
        <v>12</v>
      </c>
      <c r="S48" s="441">
        <v>44000</v>
      </c>
      <c r="T48" s="1371" t="s">
        <v>1653</v>
      </c>
      <c r="U48" s="395" t="s">
        <v>1626</v>
      </c>
    </row>
    <row r="49" spans="1:21" s="1367" customFormat="1" ht="37.5" x14ac:dyDescent="0.25">
      <c r="A49" s="8">
        <v>44</v>
      </c>
      <c r="B49" s="393" t="s">
        <v>135</v>
      </c>
      <c r="C49" s="14" t="s">
        <v>1438</v>
      </c>
      <c r="D49" s="16" t="s">
        <v>144</v>
      </c>
      <c r="E49" s="8" t="s">
        <v>2885</v>
      </c>
      <c r="F49" s="62" t="s">
        <v>2863</v>
      </c>
      <c r="G49" s="15" t="s">
        <v>2886</v>
      </c>
      <c r="H49" s="65" t="s">
        <v>2870</v>
      </c>
      <c r="I49" s="15"/>
      <c r="J49" s="15" t="s">
        <v>8</v>
      </c>
      <c r="K49" s="90">
        <v>1.78E-2</v>
      </c>
      <c r="L49" s="68">
        <f>M49/178</f>
        <v>277.27</v>
      </c>
      <c r="M49" s="68">
        <v>49354.06</v>
      </c>
      <c r="N49" s="105" t="s">
        <v>2214</v>
      </c>
      <c r="O49" s="367"/>
      <c r="P49" s="336">
        <f>M49*R49%</f>
        <v>5922.4871999999996</v>
      </c>
      <c r="Q49" s="336">
        <f t="shared" si="1"/>
        <v>5922.4871999999996</v>
      </c>
      <c r="R49" s="336">
        <v>12</v>
      </c>
      <c r="S49" s="441">
        <v>44000</v>
      </c>
      <c r="T49" s="1371" t="s">
        <v>1654</v>
      </c>
      <c r="U49" s="395" t="s">
        <v>1626</v>
      </c>
    </row>
    <row r="50" spans="1:21" s="1367" customFormat="1" ht="37.5" x14ac:dyDescent="0.25">
      <c r="A50" s="8">
        <v>45</v>
      </c>
      <c r="B50" s="393" t="s">
        <v>135</v>
      </c>
      <c r="C50" s="14" t="s">
        <v>1438</v>
      </c>
      <c r="D50" s="16" t="s">
        <v>145</v>
      </c>
      <c r="E50" s="8" t="s">
        <v>2879</v>
      </c>
      <c r="F50" s="81" t="s">
        <v>2880</v>
      </c>
      <c r="G50" s="1374" t="s">
        <v>2881</v>
      </c>
      <c r="H50" s="93">
        <v>42571</v>
      </c>
      <c r="I50" s="1374"/>
      <c r="J50" s="15" t="s">
        <v>8</v>
      </c>
      <c r="K50" s="90">
        <v>1.3299999999999999E-2</v>
      </c>
      <c r="L50" s="68">
        <f>M50/133</f>
        <v>207.56</v>
      </c>
      <c r="M50" s="68">
        <v>27605.48</v>
      </c>
      <c r="N50" s="105" t="s">
        <v>2210</v>
      </c>
      <c r="O50" s="367"/>
      <c r="P50" s="336">
        <f>M50*R50%</f>
        <v>3312.6576</v>
      </c>
      <c r="Q50" s="336">
        <f t="shared" si="1"/>
        <v>3312.6576</v>
      </c>
      <c r="R50" s="336">
        <v>12</v>
      </c>
      <c r="S50" s="441">
        <v>44000</v>
      </c>
      <c r="T50" s="1371" t="s">
        <v>1655</v>
      </c>
      <c r="U50" s="395" t="s">
        <v>1626</v>
      </c>
    </row>
    <row r="51" spans="1:21" s="1367" customFormat="1" ht="37.5" x14ac:dyDescent="0.25">
      <c r="A51" s="8">
        <v>46</v>
      </c>
      <c r="B51" s="1372" t="s">
        <v>135</v>
      </c>
      <c r="C51" s="14" t="s">
        <v>1438</v>
      </c>
      <c r="D51" s="16" t="s">
        <v>146</v>
      </c>
      <c r="E51" s="63" t="s">
        <v>2892</v>
      </c>
      <c r="F51" s="62" t="s">
        <v>2863</v>
      </c>
      <c r="G51" s="63" t="s">
        <v>2893</v>
      </c>
      <c r="H51" s="62" t="s">
        <v>2869</v>
      </c>
      <c r="I51" s="63"/>
      <c r="J51" s="14" t="s">
        <v>8</v>
      </c>
      <c r="K51" s="90">
        <v>3.5499999999999997E-2</v>
      </c>
      <c r="L51" s="68">
        <f>M51/355</f>
        <v>145.59</v>
      </c>
      <c r="M51" s="68">
        <v>51684.45</v>
      </c>
      <c r="N51" s="105" t="s">
        <v>2218</v>
      </c>
      <c r="O51" s="367"/>
      <c r="P51" s="336">
        <f>M51*R51%</f>
        <v>6202.1339999999991</v>
      </c>
      <c r="Q51" s="336">
        <f t="shared" si="1"/>
        <v>6202.1339999999991</v>
      </c>
      <c r="R51" s="336">
        <v>12</v>
      </c>
      <c r="S51" s="441">
        <v>44000</v>
      </c>
      <c r="T51" s="94" t="s">
        <v>1656</v>
      </c>
      <c r="U51" s="395" t="s">
        <v>1626</v>
      </c>
    </row>
    <row r="52" spans="1:21" s="1367" customFormat="1" ht="37.5" x14ac:dyDescent="0.25">
      <c r="A52" s="8">
        <v>47</v>
      </c>
      <c r="B52" s="305" t="s">
        <v>3755</v>
      </c>
      <c r="C52" s="14" t="s">
        <v>1438</v>
      </c>
      <c r="D52" s="16" t="s">
        <v>147</v>
      </c>
      <c r="E52" s="8" t="s">
        <v>2882</v>
      </c>
      <c r="F52" s="62" t="s">
        <v>2863</v>
      </c>
      <c r="G52" s="14" t="s">
        <v>2883</v>
      </c>
      <c r="H52" s="65">
        <v>42571</v>
      </c>
      <c r="I52" s="14"/>
      <c r="J52" s="14" t="s">
        <v>8</v>
      </c>
      <c r="K52" s="87">
        <v>0.16289999999999999</v>
      </c>
      <c r="L52" s="88">
        <f>M52/1629</f>
        <v>335.23999999999995</v>
      </c>
      <c r="M52" s="68">
        <v>546105.96</v>
      </c>
      <c r="N52" s="105" t="s">
        <v>2212</v>
      </c>
      <c r="O52" s="367"/>
      <c r="P52" s="336">
        <f>M52*R52%</f>
        <v>65532.715199999991</v>
      </c>
      <c r="Q52" s="336">
        <f t="shared" si="1"/>
        <v>65532.715199999991</v>
      </c>
      <c r="R52" s="336">
        <v>12</v>
      </c>
      <c r="S52" s="308">
        <v>44000</v>
      </c>
      <c r="T52" s="89" t="s">
        <v>1657</v>
      </c>
      <c r="U52" s="395" t="s">
        <v>1626</v>
      </c>
    </row>
    <row r="53" spans="1:21" s="1367" customFormat="1" ht="56.25" x14ac:dyDescent="0.25">
      <c r="A53" s="8">
        <v>48</v>
      </c>
      <c r="B53" s="97" t="s">
        <v>150</v>
      </c>
      <c r="C53" s="14">
        <v>24948713</v>
      </c>
      <c r="D53" s="16" t="s">
        <v>149</v>
      </c>
      <c r="E53" s="62" t="s">
        <v>2644</v>
      </c>
      <c r="F53" s="62" t="s">
        <v>3418</v>
      </c>
      <c r="G53" s="62"/>
      <c r="H53" s="65">
        <v>41592</v>
      </c>
      <c r="I53" s="62"/>
      <c r="J53" s="14" t="s">
        <v>8</v>
      </c>
      <c r="K53" s="90">
        <v>0.25580000000000003</v>
      </c>
      <c r="L53" s="68">
        <f>M53/2558</f>
        <v>366.51</v>
      </c>
      <c r="M53" s="68">
        <v>937532.58</v>
      </c>
      <c r="N53" s="68" t="s">
        <v>3376</v>
      </c>
      <c r="O53" s="367"/>
      <c r="P53" s="336">
        <f>M53*R53%</f>
        <v>28125.977399999996</v>
      </c>
      <c r="Q53" s="336">
        <f t="shared" si="1"/>
        <v>28125.977399999996</v>
      </c>
      <c r="R53" s="336">
        <v>3</v>
      </c>
      <c r="S53" s="308">
        <v>44252</v>
      </c>
      <c r="T53" s="91" t="s">
        <v>1659</v>
      </c>
      <c r="U53" s="62" t="s">
        <v>1660</v>
      </c>
    </row>
    <row r="54" spans="1:21" s="1367" customFormat="1" ht="75" x14ac:dyDescent="0.25">
      <c r="A54" s="8">
        <v>49</v>
      </c>
      <c r="B54" s="103" t="s">
        <v>150</v>
      </c>
      <c r="C54" s="62" t="s">
        <v>1439</v>
      </c>
      <c r="D54" s="16" t="s">
        <v>152</v>
      </c>
      <c r="E54" s="62" t="s">
        <v>2643</v>
      </c>
      <c r="F54" s="86" t="s">
        <v>1440</v>
      </c>
      <c r="G54" s="86" t="s">
        <v>155</v>
      </c>
      <c r="H54" s="92" t="s">
        <v>1441</v>
      </c>
      <c r="I54" s="86"/>
      <c r="J54" s="14" t="s">
        <v>8</v>
      </c>
      <c r="K54" s="90">
        <v>3.7100000000000001E-2</v>
      </c>
      <c r="L54" s="68">
        <v>109.94</v>
      </c>
      <c r="M54" s="68">
        <v>40787.74</v>
      </c>
      <c r="N54" s="68" t="s">
        <v>156</v>
      </c>
      <c r="O54" s="367"/>
      <c r="P54" s="336">
        <f>M54*R54%</f>
        <v>1223.6321999999998</v>
      </c>
      <c r="Q54" s="336">
        <f t="shared" si="1"/>
        <v>1223.6321999999998</v>
      </c>
      <c r="R54" s="336">
        <v>3</v>
      </c>
      <c r="S54" s="441">
        <v>43504</v>
      </c>
      <c r="T54" s="94" t="s">
        <v>1661</v>
      </c>
      <c r="U54" s="62" t="s">
        <v>1662</v>
      </c>
    </row>
    <row r="55" spans="1:21" s="1367" customFormat="1" ht="56.25" x14ac:dyDescent="0.25">
      <c r="A55" s="8">
        <v>50</v>
      </c>
      <c r="B55" s="103" t="s">
        <v>150</v>
      </c>
      <c r="C55" s="62" t="s">
        <v>1439</v>
      </c>
      <c r="D55" s="16" t="s">
        <v>157</v>
      </c>
      <c r="E55" s="62" t="s">
        <v>2642</v>
      </c>
      <c r="F55" s="86" t="s">
        <v>1440</v>
      </c>
      <c r="G55" s="86" t="s">
        <v>160</v>
      </c>
      <c r="H55" s="92" t="s">
        <v>1441</v>
      </c>
      <c r="I55" s="86"/>
      <c r="J55" s="14" t="s">
        <v>8</v>
      </c>
      <c r="K55" s="90">
        <v>0.03</v>
      </c>
      <c r="L55" s="68">
        <v>342.87</v>
      </c>
      <c r="M55" s="68">
        <v>102861</v>
      </c>
      <c r="N55" s="68" t="s">
        <v>161</v>
      </c>
      <c r="O55" s="367"/>
      <c r="P55" s="336">
        <f>M55*R55%</f>
        <v>3085.83</v>
      </c>
      <c r="Q55" s="336">
        <f t="shared" si="1"/>
        <v>3085.83</v>
      </c>
      <c r="R55" s="336">
        <v>3</v>
      </c>
      <c r="S55" s="441" t="s">
        <v>2563</v>
      </c>
      <c r="T55" s="94" t="s">
        <v>1663</v>
      </c>
      <c r="U55" s="62" t="s">
        <v>1662</v>
      </c>
    </row>
    <row r="56" spans="1:21" s="1367" customFormat="1" ht="112.5" x14ac:dyDescent="0.25">
      <c r="A56" s="8">
        <v>51</v>
      </c>
      <c r="B56" s="103" t="s">
        <v>150</v>
      </c>
      <c r="C56" s="62" t="s">
        <v>1439</v>
      </c>
      <c r="D56" s="16" t="s">
        <v>162</v>
      </c>
      <c r="E56" s="62" t="s">
        <v>2641</v>
      </c>
      <c r="F56" s="86" t="s">
        <v>164</v>
      </c>
      <c r="G56" s="86" t="s">
        <v>165</v>
      </c>
      <c r="H56" s="92" t="s">
        <v>1442</v>
      </c>
      <c r="I56" s="86"/>
      <c r="J56" s="14" t="s">
        <v>8</v>
      </c>
      <c r="K56" s="90">
        <v>2.4E-2</v>
      </c>
      <c r="L56" s="68">
        <v>198.51</v>
      </c>
      <c r="M56" s="68">
        <v>47642.399999999994</v>
      </c>
      <c r="N56" s="68" t="s">
        <v>166</v>
      </c>
      <c r="O56" s="367"/>
      <c r="P56" s="336">
        <f>M56*R56%</f>
        <v>1429.2719999999997</v>
      </c>
      <c r="Q56" s="336">
        <f t="shared" si="1"/>
        <v>1429.2719999999997</v>
      </c>
      <c r="R56" s="336">
        <v>3</v>
      </c>
      <c r="S56" s="441" t="s">
        <v>2561</v>
      </c>
      <c r="T56" s="94" t="s">
        <v>1664</v>
      </c>
      <c r="U56" s="62" t="s">
        <v>1662</v>
      </c>
    </row>
    <row r="57" spans="1:21" s="1367" customFormat="1" ht="112.5" x14ac:dyDescent="0.25">
      <c r="A57" s="8">
        <v>52</v>
      </c>
      <c r="B57" s="103" t="s">
        <v>150</v>
      </c>
      <c r="C57" s="62" t="s">
        <v>1439</v>
      </c>
      <c r="D57" s="16" t="s">
        <v>167</v>
      </c>
      <c r="E57" s="62" t="s">
        <v>2640</v>
      </c>
      <c r="F57" s="86" t="s">
        <v>1443</v>
      </c>
      <c r="G57" s="62" t="s">
        <v>170</v>
      </c>
      <c r="H57" s="65" t="s">
        <v>1444</v>
      </c>
      <c r="I57" s="86"/>
      <c r="J57" s="14" t="s">
        <v>8</v>
      </c>
      <c r="K57" s="90">
        <v>3.5999999999999997E-2</v>
      </c>
      <c r="L57" s="68">
        <v>136.61000000000001</v>
      </c>
      <c r="M57" s="68" t="s">
        <v>171</v>
      </c>
      <c r="N57" s="68" t="s">
        <v>172</v>
      </c>
      <c r="O57" s="367"/>
      <c r="P57" s="336">
        <v>1475.39</v>
      </c>
      <c r="Q57" s="1448">
        <v>1475.39</v>
      </c>
      <c r="R57" s="336">
        <v>3</v>
      </c>
      <c r="S57" s="441" t="s">
        <v>2562</v>
      </c>
      <c r="T57" s="94" t="s">
        <v>1665</v>
      </c>
      <c r="U57" s="62" t="s">
        <v>1662</v>
      </c>
    </row>
    <row r="58" spans="1:21" s="1367" customFormat="1" ht="168.75" x14ac:dyDescent="0.25">
      <c r="A58" s="8">
        <v>53</v>
      </c>
      <c r="B58" s="103" t="s">
        <v>150</v>
      </c>
      <c r="C58" s="62" t="s">
        <v>1439</v>
      </c>
      <c r="D58" s="16" t="s">
        <v>2162</v>
      </c>
      <c r="E58" s="86" t="s">
        <v>2165</v>
      </c>
      <c r="F58" s="86" t="s">
        <v>2166</v>
      </c>
      <c r="G58" s="86" t="s">
        <v>2167</v>
      </c>
      <c r="H58" s="92">
        <v>43522</v>
      </c>
      <c r="I58" s="86"/>
      <c r="J58" s="14" t="s">
        <v>8</v>
      </c>
      <c r="K58" s="90">
        <v>4.5100000000000001E-2</v>
      </c>
      <c r="L58" s="68">
        <v>451.15</v>
      </c>
      <c r="M58" s="68">
        <f>L58*451</f>
        <v>203468.65</v>
      </c>
      <c r="N58" s="68" t="s">
        <v>2168</v>
      </c>
      <c r="O58" s="367"/>
      <c r="P58" s="336">
        <f>M58*R58%</f>
        <v>6104.0594999999994</v>
      </c>
      <c r="Q58" s="336">
        <f t="shared" ref="Q58:Q92" si="2">P58</f>
        <v>6104.0594999999994</v>
      </c>
      <c r="R58" s="336">
        <v>3</v>
      </c>
      <c r="S58" s="441">
        <v>43806</v>
      </c>
      <c r="T58" s="94" t="s">
        <v>2169</v>
      </c>
      <c r="U58" s="62" t="s">
        <v>2170</v>
      </c>
    </row>
    <row r="59" spans="1:21" s="1367" customFormat="1" ht="281.25" x14ac:dyDescent="0.25">
      <c r="A59" s="8">
        <v>54</v>
      </c>
      <c r="B59" s="103" t="s">
        <v>150</v>
      </c>
      <c r="C59" s="62" t="s">
        <v>1439</v>
      </c>
      <c r="D59" s="16" t="s">
        <v>2185</v>
      </c>
      <c r="E59" s="86" t="s">
        <v>2187</v>
      </c>
      <c r="F59" s="86" t="s">
        <v>2166</v>
      </c>
      <c r="G59" s="86" t="s">
        <v>2188</v>
      </c>
      <c r="H59" s="92">
        <v>43535</v>
      </c>
      <c r="I59" s="86"/>
      <c r="J59" s="14" t="s">
        <v>8</v>
      </c>
      <c r="K59" s="90">
        <v>1.3899999999999999E-2</v>
      </c>
      <c r="L59" s="68">
        <f>M59/139</f>
        <v>171.38</v>
      </c>
      <c r="M59" s="68">
        <v>23821.82</v>
      </c>
      <c r="N59" s="68" t="s">
        <v>2189</v>
      </c>
      <c r="O59" s="367"/>
      <c r="P59" s="336">
        <f>M59*R59%</f>
        <v>714.65459999999996</v>
      </c>
      <c r="Q59" s="336">
        <f t="shared" si="2"/>
        <v>714.65459999999996</v>
      </c>
      <c r="R59" s="336">
        <v>3</v>
      </c>
      <c r="S59" s="441" t="s">
        <v>2907</v>
      </c>
      <c r="T59" s="94" t="s">
        <v>2190</v>
      </c>
      <c r="U59" s="62" t="s">
        <v>2170</v>
      </c>
    </row>
    <row r="60" spans="1:21" s="1367" customFormat="1" ht="225" x14ac:dyDescent="0.25">
      <c r="A60" s="8">
        <v>55</v>
      </c>
      <c r="B60" s="103" t="s">
        <v>150</v>
      </c>
      <c r="C60" s="62" t="s">
        <v>1439</v>
      </c>
      <c r="D60" s="16" t="s">
        <v>2636</v>
      </c>
      <c r="E60" s="86" t="s">
        <v>2639</v>
      </c>
      <c r="F60" s="86" t="s">
        <v>2645</v>
      </c>
      <c r="G60" s="86" t="s">
        <v>2646</v>
      </c>
      <c r="H60" s="92">
        <v>43654</v>
      </c>
      <c r="I60" s="86"/>
      <c r="J60" s="14" t="s">
        <v>8</v>
      </c>
      <c r="K60" s="90">
        <v>2.4899999999999999E-2</v>
      </c>
      <c r="L60" s="68">
        <f>M60/249</f>
        <v>394.01000000000005</v>
      </c>
      <c r="M60" s="68">
        <v>98108.49</v>
      </c>
      <c r="N60" s="68" t="s">
        <v>2647</v>
      </c>
      <c r="O60" s="367"/>
      <c r="P60" s="336">
        <f>M60*R60%</f>
        <v>2943.2547</v>
      </c>
      <c r="Q60" s="336">
        <f t="shared" si="2"/>
        <v>2943.2547</v>
      </c>
      <c r="R60" s="336">
        <v>3</v>
      </c>
      <c r="S60" s="441">
        <v>43847</v>
      </c>
      <c r="T60" s="94" t="s">
        <v>2648</v>
      </c>
      <c r="U60" s="62" t="s">
        <v>2170</v>
      </c>
    </row>
    <row r="61" spans="1:21" s="1367" customFormat="1" ht="150" x14ac:dyDescent="0.25">
      <c r="A61" s="8">
        <v>56</v>
      </c>
      <c r="B61" s="103" t="s">
        <v>150</v>
      </c>
      <c r="C61" s="62" t="s">
        <v>1439</v>
      </c>
      <c r="D61" s="16" t="s">
        <v>2967</v>
      </c>
      <c r="E61" s="81" t="s">
        <v>2969</v>
      </c>
      <c r="F61" s="81" t="s">
        <v>2970</v>
      </c>
      <c r="G61" s="81" t="s">
        <v>2971</v>
      </c>
      <c r="H61" s="93">
        <v>43739</v>
      </c>
      <c r="I61" s="81"/>
      <c r="J61" s="14" t="s">
        <v>8</v>
      </c>
      <c r="K61" s="90">
        <v>1.32E-2</v>
      </c>
      <c r="L61" s="68">
        <f>M61/132</f>
        <v>394.01</v>
      </c>
      <c r="M61" s="68">
        <v>52009.32</v>
      </c>
      <c r="N61" s="68" t="s">
        <v>2972</v>
      </c>
      <c r="O61" s="367"/>
      <c r="P61" s="336">
        <v>1560.28</v>
      </c>
      <c r="Q61" s="336">
        <f t="shared" si="2"/>
        <v>1560.28</v>
      </c>
      <c r="R61" s="336">
        <v>3</v>
      </c>
      <c r="S61" s="441">
        <v>44065</v>
      </c>
      <c r="T61" s="94" t="s">
        <v>2973</v>
      </c>
      <c r="U61" s="62" t="s">
        <v>2170</v>
      </c>
    </row>
    <row r="62" spans="1:21" s="1367" customFormat="1" ht="150" x14ac:dyDescent="0.25">
      <c r="A62" s="8">
        <v>57</v>
      </c>
      <c r="B62" s="103" t="s">
        <v>150</v>
      </c>
      <c r="C62" s="62" t="s">
        <v>1439</v>
      </c>
      <c r="D62" s="16" t="s">
        <v>2974</v>
      </c>
      <c r="E62" s="81" t="s">
        <v>2977</v>
      </c>
      <c r="F62" s="81" t="s">
        <v>2970</v>
      </c>
      <c r="G62" s="81" t="s">
        <v>2978</v>
      </c>
      <c r="H62" s="93">
        <v>43740</v>
      </c>
      <c r="I62" s="81"/>
      <c r="J62" s="14" t="s">
        <v>8</v>
      </c>
      <c r="K62" s="90">
        <v>1.3299999999999999E-2</v>
      </c>
      <c r="L62" s="68">
        <f>M62/133</f>
        <v>378.97</v>
      </c>
      <c r="M62" s="68">
        <v>50403.01</v>
      </c>
      <c r="N62" s="68" t="s">
        <v>2979</v>
      </c>
      <c r="O62" s="367"/>
      <c r="P62" s="336">
        <v>1512.09</v>
      </c>
      <c r="Q62" s="336">
        <f t="shared" si="2"/>
        <v>1512.09</v>
      </c>
      <c r="R62" s="336">
        <v>3</v>
      </c>
      <c r="S62" s="441">
        <v>44065</v>
      </c>
      <c r="T62" s="94" t="s">
        <v>2980</v>
      </c>
      <c r="U62" s="62" t="s">
        <v>2170</v>
      </c>
    </row>
    <row r="63" spans="1:21" s="1367" customFormat="1" ht="150" x14ac:dyDescent="0.25">
      <c r="A63" s="8">
        <v>58</v>
      </c>
      <c r="B63" s="103" t="s">
        <v>150</v>
      </c>
      <c r="C63" s="62" t="s">
        <v>1439</v>
      </c>
      <c r="D63" s="16" t="s">
        <v>3113</v>
      </c>
      <c r="E63" s="81" t="s">
        <v>3117</v>
      </c>
      <c r="F63" s="81" t="s">
        <v>3118</v>
      </c>
      <c r="G63" s="81" t="s">
        <v>3116</v>
      </c>
      <c r="H63" s="93" t="s">
        <v>3163</v>
      </c>
      <c r="I63" s="81"/>
      <c r="J63" s="14" t="s">
        <v>8</v>
      </c>
      <c r="K63" s="90">
        <v>5.0000000000000001E-3</v>
      </c>
      <c r="L63" s="68">
        <f>M63/50</f>
        <v>139.02000000000001</v>
      </c>
      <c r="M63" s="68">
        <v>6951</v>
      </c>
      <c r="N63" s="68" t="s">
        <v>3119</v>
      </c>
      <c r="O63" s="367"/>
      <c r="P63" s="336">
        <v>208.53</v>
      </c>
      <c r="Q63" s="336">
        <f t="shared" si="2"/>
        <v>208.53</v>
      </c>
      <c r="R63" s="336">
        <v>3</v>
      </c>
      <c r="S63" s="441">
        <v>44065</v>
      </c>
      <c r="T63" s="94" t="s">
        <v>3120</v>
      </c>
      <c r="U63" s="62" t="s">
        <v>1662</v>
      </c>
    </row>
    <row r="64" spans="1:21" s="1367" customFormat="1" ht="150" x14ac:dyDescent="0.25">
      <c r="A64" s="8">
        <v>59</v>
      </c>
      <c r="B64" s="103" t="s">
        <v>150</v>
      </c>
      <c r="C64" s="62" t="s">
        <v>1439</v>
      </c>
      <c r="D64" s="16" t="s">
        <v>3164</v>
      </c>
      <c r="E64" s="81" t="s">
        <v>3166</v>
      </c>
      <c r="F64" s="81" t="s">
        <v>3167</v>
      </c>
      <c r="G64" s="81" t="s">
        <v>3168</v>
      </c>
      <c r="H64" s="93" t="s">
        <v>3169</v>
      </c>
      <c r="I64" s="81"/>
      <c r="J64" s="14"/>
      <c r="K64" s="90">
        <v>5.0000000000000001E-3</v>
      </c>
      <c r="L64" s="68">
        <f>M64/50</f>
        <v>134.30000000000001</v>
      </c>
      <c r="M64" s="68">
        <v>6715</v>
      </c>
      <c r="N64" s="68" t="s">
        <v>3170</v>
      </c>
      <c r="O64" s="367"/>
      <c r="P64" s="336">
        <v>201.45</v>
      </c>
      <c r="Q64" s="336">
        <f t="shared" si="2"/>
        <v>201.45</v>
      </c>
      <c r="R64" s="336">
        <v>3</v>
      </c>
      <c r="S64" s="441">
        <v>44114</v>
      </c>
      <c r="T64" s="94" t="s">
        <v>3120</v>
      </c>
      <c r="U64" s="62" t="s">
        <v>1662</v>
      </c>
    </row>
    <row r="65" spans="1:21" s="1367" customFormat="1" ht="318.75" x14ac:dyDescent="0.25">
      <c r="A65" s="8">
        <v>60</v>
      </c>
      <c r="B65" s="103" t="s">
        <v>150</v>
      </c>
      <c r="C65" s="62" t="s">
        <v>1439</v>
      </c>
      <c r="D65" s="16" t="s">
        <v>3501</v>
      </c>
      <c r="E65" s="81" t="s">
        <v>3504</v>
      </c>
      <c r="F65" s="81" t="s">
        <v>3505</v>
      </c>
      <c r="G65" s="81" t="s">
        <v>3503</v>
      </c>
      <c r="H65" s="93">
        <v>43878</v>
      </c>
      <c r="I65" s="81"/>
      <c r="J65" s="14" t="s">
        <v>8</v>
      </c>
      <c r="K65" s="90">
        <v>2.5999999999999999E-2</v>
      </c>
      <c r="L65" s="68">
        <f>M65/260</f>
        <v>227.98000000000002</v>
      </c>
      <c r="M65" s="68">
        <v>59274.8</v>
      </c>
      <c r="N65" s="672" t="s">
        <v>3506</v>
      </c>
      <c r="O65" s="367"/>
      <c r="P65" s="336">
        <v>1778.24</v>
      </c>
      <c r="Q65" s="336">
        <v>1303.05</v>
      </c>
      <c r="R65" s="336">
        <v>3</v>
      </c>
      <c r="S65" s="441" t="s">
        <v>3507</v>
      </c>
      <c r="T65" s="94" t="s">
        <v>3502</v>
      </c>
      <c r="U65" s="62" t="s">
        <v>1662</v>
      </c>
    </row>
    <row r="66" spans="1:21" s="1367" customFormat="1" ht="206.25" x14ac:dyDescent="0.25">
      <c r="A66" s="8">
        <v>61</v>
      </c>
      <c r="B66" s="103" t="s">
        <v>150</v>
      </c>
      <c r="C66" s="62" t="s">
        <v>1439</v>
      </c>
      <c r="D66" s="16" t="s">
        <v>3589</v>
      </c>
      <c r="E66" s="81" t="s">
        <v>3590</v>
      </c>
      <c r="F66" s="81" t="s">
        <v>3591</v>
      </c>
      <c r="G66" s="81" t="s">
        <v>3592</v>
      </c>
      <c r="H66" s="93" t="s">
        <v>3593</v>
      </c>
      <c r="I66" s="81"/>
      <c r="J66" s="14" t="s">
        <v>8</v>
      </c>
      <c r="K66" s="90" t="s">
        <v>3594</v>
      </c>
      <c r="L66" s="68" t="s">
        <v>3595</v>
      </c>
      <c r="M66" s="68" t="s">
        <v>3596</v>
      </c>
      <c r="N66" s="672" t="s">
        <v>3597</v>
      </c>
      <c r="O66" s="367"/>
      <c r="P66" s="336">
        <v>1615.37</v>
      </c>
      <c r="Q66" s="336">
        <v>1615.37</v>
      </c>
      <c r="R66" s="336">
        <v>1</v>
      </c>
      <c r="S66" s="441" t="s">
        <v>3598</v>
      </c>
      <c r="T66" s="94" t="s">
        <v>3588</v>
      </c>
      <c r="U66" s="62" t="s">
        <v>1662</v>
      </c>
    </row>
    <row r="67" spans="1:21" s="1367" customFormat="1" ht="281.25" x14ac:dyDescent="0.25">
      <c r="A67" s="8">
        <v>62</v>
      </c>
      <c r="B67" s="103" t="s">
        <v>150</v>
      </c>
      <c r="C67" s="62" t="s">
        <v>1439</v>
      </c>
      <c r="D67" s="16" t="s">
        <v>3638</v>
      </c>
      <c r="E67" s="81" t="s">
        <v>3631</v>
      </c>
      <c r="F67" s="81" t="s">
        <v>3630</v>
      </c>
      <c r="G67" s="81" t="s">
        <v>3632</v>
      </c>
      <c r="H67" s="93" t="s">
        <v>3633</v>
      </c>
      <c r="I67" s="81"/>
      <c r="J67" s="14" t="s">
        <v>8</v>
      </c>
      <c r="K67" s="90" t="s">
        <v>3639</v>
      </c>
      <c r="L67" s="68" t="s">
        <v>3635</v>
      </c>
      <c r="M67" s="68" t="s">
        <v>3634</v>
      </c>
      <c r="N67" s="672" t="s">
        <v>3636</v>
      </c>
      <c r="O67" s="367"/>
      <c r="P67" s="336">
        <v>1364.9</v>
      </c>
      <c r="Q67" s="336">
        <v>1364.9</v>
      </c>
      <c r="R67" s="336">
        <v>3</v>
      </c>
      <c r="S67" s="441">
        <v>44113</v>
      </c>
      <c r="T67" s="94" t="s">
        <v>3637</v>
      </c>
      <c r="U67" s="62" t="s">
        <v>1662</v>
      </c>
    </row>
    <row r="68" spans="1:21" s="1367" customFormat="1" ht="93.75" x14ac:dyDescent="0.25">
      <c r="A68" s="8">
        <v>63</v>
      </c>
      <c r="B68" s="103" t="s">
        <v>173</v>
      </c>
      <c r="C68" s="8">
        <v>24108375</v>
      </c>
      <c r="D68" s="16" t="s">
        <v>175</v>
      </c>
      <c r="E68" s="63" t="s">
        <v>176</v>
      </c>
      <c r="F68" s="81" t="s">
        <v>1445</v>
      </c>
      <c r="G68" s="63" t="s">
        <v>177</v>
      </c>
      <c r="H68" s="93" t="s">
        <v>2179</v>
      </c>
      <c r="I68" s="63" t="s">
        <v>178</v>
      </c>
      <c r="J68" s="14" t="s">
        <v>8</v>
      </c>
      <c r="K68" s="90">
        <v>0.1741</v>
      </c>
      <c r="L68" s="68">
        <v>249.16</v>
      </c>
      <c r="M68" s="68">
        <v>433787.56</v>
      </c>
      <c r="N68" s="1375" t="s">
        <v>2540</v>
      </c>
      <c r="O68" s="367"/>
      <c r="P68" s="336">
        <f>M68*R68%</f>
        <v>13013.6268</v>
      </c>
      <c r="Q68" s="336">
        <f t="shared" si="2"/>
        <v>13013.6268</v>
      </c>
      <c r="R68" s="336">
        <v>3</v>
      </c>
      <c r="S68" s="1142" t="s">
        <v>2559</v>
      </c>
      <c r="T68" s="91" t="s">
        <v>1666</v>
      </c>
      <c r="U68" s="62" t="s">
        <v>1667</v>
      </c>
    </row>
    <row r="69" spans="1:21" s="1367" customFormat="1" ht="75" x14ac:dyDescent="0.25">
      <c r="A69" s="8">
        <v>64</v>
      </c>
      <c r="B69" s="103" t="s">
        <v>179</v>
      </c>
      <c r="C69" s="8">
        <v>33664968</v>
      </c>
      <c r="D69" s="16" t="s">
        <v>181</v>
      </c>
      <c r="E69" s="14" t="s">
        <v>182</v>
      </c>
      <c r="F69" s="62" t="s">
        <v>3419</v>
      </c>
      <c r="G69" s="14" t="s">
        <v>3722</v>
      </c>
      <c r="H69" s="65" t="s">
        <v>183</v>
      </c>
      <c r="I69" s="14" t="s">
        <v>3723</v>
      </c>
      <c r="J69" s="14" t="s">
        <v>8</v>
      </c>
      <c r="K69" s="90">
        <v>2.3999999999999998E-3</v>
      </c>
      <c r="L69" s="68">
        <v>2043.23</v>
      </c>
      <c r="M69" s="68">
        <v>49037.52</v>
      </c>
      <c r="N69" s="105" t="s">
        <v>3724</v>
      </c>
      <c r="O69" s="367"/>
      <c r="P69" s="336">
        <f>M69*R69%</f>
        <v>4903.7519999999995</v>
      </c>
      <c r="Q69" s="336">
        <f t="shared" si="2"/>
        <v>4903.7519999999995</v>
      </c>
      <c r="R69" s="336">
        <v>10</v>
      </c>
      <c r="S69" s="441">
        <v>45053</v>
      </c>
      <c r="T69" s="50" t="s">
        <v>1668</v>
      </c>
      <c r="U69" s="62" t="s">
        <v>1634</v>
      </c>
    </row>
    <row r="70" spans="1:21" s="1367" customFormat="1" ht="56.25" x14ac:dyDescent="0.25">
      <c r="A70" s="8">
        <v>65</v>
      </c>
      <c r="B70" s="103" t="s">
        <v>184</v>
      </c>
      <c r="C70" s="14">
        <v>32668118</v>
      </c>
      <c r="D70" s="16" t="s">
        <v>2843</v>
      </c>
      <c r="E70" s="63" t="s">
        <v>187</v>
      </c>
      <c r="F70" s="81" t="s">
        <v>3333</v>
      </c>
      <c r="G70" s="16">
        <v>406732000023</v>
      </c>
      <c r="H70" s="93">
        <v>38824</v>
      </c>
      <c r="I70" s="63" t="s">
        <v>3457</v>
      </c>
      <c r="J70" s="14" t="s">
        <v>8</v>
      </c>
      <c r="K70" s="90">
        <v>0.8</v>
      </c>
      <c r="L70" s="68">
        <f>M70/8000</f>
        <v>582.15</v>
      </c>
      <c r="M70" s="68">
        <v>4657200</v>
      </c>
      <c r="N70" s="105" t="s">
        <v>3336</v>
      </c>
      <c r="O70" s="367"/>
      <c r="P70" s="336">
        <f>M70*R70%</f>
        <v>558864</v>
      </c>
      <c r="Q70" s="336">
        <f t="shared" si="2"/>
        <v>558864</v>
      </c>
      <c r="R70" s="336">
        <v>12</v>
      </c>
      <c r="S70" s="308" t="s">
        <v>2909</v>
      </c>
      <c r="T70" s="14" t="s">
        <v>1669</v>
      </c>
      <c r="U70" s="62" t="s">
        <v>1713</v>
      </c>
    </row>
    <row r="71" spans="1:21" s="1367" customFormat="1" ht="56.25" x14ac:dyDescent="0.25">
      <c r="A71" s="8">
        <v>66</v>
      </c>
      <c r="B71" s="103" t="s">
        <v>188</v>
      </c>
      <c r="C71" s="8" t="s">
        <v>1446</v>
      </c>
      <c r="D71" s="16" t="s">
        <v>3363</v>
      </c>
      <c r="E71" s="68" t="s">
        <v>2813</v>
      </c>
      <c r="F71" s="62" t="s">
        <v>191</v>
      </c>
      <c r="G71" s="14" t="s">
        <v>2812</v>
      </c>
      <c r="H71" s="65" t="s">
        <v>191</v>
      </c>
      <c r="I71" s="14"/>
      <c r="J71" s="14" t="s">
        <v>8</v>
      </c>
      <c r="K71" s="90">
        <v>0.19800000000000001</v>
      </c>
      <c r="L71" s="68">
        <f>M71/1980</f>
        <v>931.18999999999994</v>
      </c>
      <c r="M71" s="68">
        <v>1843756.2</v>
      </c>
      <c r="N71" s="105" t="s">
        <v>3392</v>
      </c>
      <c r="O71" s="367"/>
      <c r="P71" s="336">
        <f>M71*R71%</f>
        <v>221250.74399999998</v>
      </c>
      <c r="Q71" s="336">
        <f t="shared" si="2"/>
        <v>221250.74399999998</v>
      </c>
      <c r="R71" s="336">
        <v>12</v>
      </c>
      <c r="S71" s="441" t="s">
        <v>2908</v>
      </c>
      <c r="T71" s="50" t="s">
        <v>1670</v>
      </c>
      <c r="U71" s="62" t="s">
        <v>1629</v>
      </c>
    </row>
    <row r="72" spans="1:21" s="1367" customFormat="1" ht="56.25" x14ac:dyDescent="0.25">
      <c r="A72" s="8">
        <v>67</v>
      </c>
      <c r="B72" s="1376" t="s">
        <v>192</v>
      </c>
      <c r="C72" s="14" t="s">
        <v>1447</v>
      </c>
      <c r="D72" s="16" t="s">
        <v>2220</v>
      </c>
      <c r="E72" s="63" t="s">
        <v>2223</v>
      </c>
      <c r="F72" s="81" t="s">
        <v>2222</v>
      </c>
      <c r="G72" s="63" t="s">
        <v>2224</v>
      </c>
      <c r="H72" s="93" t="s">
        <v>2225</v>
      </c>
      <c r="I72" s="63"/>
      <c r="J72" s="50" t="s">
        <v>8</v>
      </c>
      <c r="K72" s="1377">
        <v>4.6800000000000001E-2</v>
      </c>
      <c r="L72" s="1378">
        <v>1889.12</v>
      </c>
      <c r="M72" s="68">
        <v>884108.15999999992</v>
      </c>
      <c r="N72" s="68"/>
      <c r="O72" s="367"/>
      <c r="P72" s="336">
        <f>M72*R72%</f>
        <v>26523.244799999997</v>
      </c>
      <c r="Q72" s="336">
        <f t="shared" si="2"/>
        <v>26523.244799999997</v>
      </c>
      <c r="R72" s="336">
        <v>3</v>
      </c>
      <c r="S72" s="441" t="s">
        <v>2558</v>
      </c>
      <c r="T72" s="1373" t="s">
        <v>1671</v>
      </c>
      <c r="U72" s="1388" t="s">
        <v>1634</v>
      </c>
    </row>
    <row r="73" spans="1:21" s="1367" customFormat="1" ht="56.25" x14ac:dyDescent="0.25">
      <c r="A73" s="8">
        <v>68</v>
      </c>
      <c r="B73" s="305" t="s">
        <v>194</v>
      </c>
      <c r="C73" s="8">
        <v>33768566</v>
      </c>
      <c r="D73" s="16" t="s">
        <v>196</v>
      </c>
      <c r="E73" s="1370" t="s">
        <v>199</v>
      </c>
      <c r="F73" s="62" t="s">
        <v>1448</v>
      </c>
      <c r="G73" s="62" t="s">
        <v>200</v>
      </c>
      <c r="H73" s="65" t="s">
        <v>201</v>
      </c>
      <c r="I73" s="62"/>
      <c r="J73" s="14" t="s">
        <v>8</v>
      </c>
      <c r="K73" s="87">
        <v>0.28129999999999999</v>
      </c>
      <c r="L73" s="88">
        <v>903.52</v>
      </c>
      <c r="M73" s="68">
        <v>2541601.7599999998</v>
      </c>
      <c r="N73" s="68" t="s">
        <v>202</v>
      </c>
      <c r="O73" s="367"/>
      <c r="P73" s="336">
        <f>M73*R73%</f>
        <v>3812.4026399999998</v>
      </c>
      <c r="Q73" s="336">
        <f t="shared" si="2"/>
        <v>3812.4026399999998</v>
      </c>
      <c r="R73" s="336">
        <v>0.15</v>
      </c>
      <c r="S73" s="308">
        <v>44755</v>
      </c>
      <c r="T73" s="89" t="s">
        <v>1672</v>
      </c>
      <c r="U73" s="62" t="s">
        <v>1673</v>
      </c>
    </row>
    <row r="74" spans="1:21" s="1367" customFormat="1" ht="75" x14ac:dyDescent="0.25">
      <c r="A74" s="8">
        <v>69</v>
      </c>
      <c r="B74" s="102" t="s">
        <v>203</v>
      </c>
      <c r="C74" s="48">
        <v>30373644</v>
      </c>
      <c r="D74" s="48" t="s">
        <v>205</v>
      </c>
      <c r="E74" s="177" t="s">
        <v>2667</v>
      </c>
      <c r="F74" s="178" t="s">
        <v>1449</v>
      </c>
      <c r="G74" s="40" t="s">
        <v>208</v>
      </c>
      <c r="H74" s="182">
        <v>43080</v>
      </c>
      <c r="I74" s="43" t="s">
        <v>209</v>
      </c>
      <c r="J74" s="177" t="s">
        <v>8</v>
      </c>
      <c r="K74" s="44">
        <v>8.5300000000000001E-2</v>
      </c>
      <c r="L74" s="45">
        <v>135.5</v>
      </c>
      <c r="M74" s="45">
        <v>115581.5</v>
      </c>
      <c r="N74" s="45" t="s">
        <v>210</v>
      </c>
      <c r="O74" s="367"/>
      <c r="P74" s="336">
        <f>M74*R74%</f>
        <v>3467.4449999999997</v>
      </c>
      <c r="Q74" s="336">
        <f t="shared" si="2"/>
        <v>3467.4449999999997</v>
      </c>
      <c r="R74" s="336">
        <v>3</v>
      </c>
      <c r="S74" s="449" t="s">
        <v>1674</v>
      </c>
      <c r="T74" s="46" t="s">
        <v>1675</v>
      </c>
      <c r="U74" s="47" t="s">
        <v>1676</v>
      </c>
    </row>
    <row r="75" spans="1:21" s="1367" customFormat="1" ht="56.25" x14ac:dyDescent="0.25">
      <c r="A75" s="8">
        <v>70</v>
      </c>
      <c r="B75" s="103" t="s">
        <v>211</v>
      </c>
      <c r="C75" s="14">
        <v>24951326</v>
      </c>
      <c r="D75" s="48" t="s">
        <v>205</v>
      </c>
      <c r="E75" s="177" t="s">
        <v>2668</v>
      </c>
      <c r="F75" s="86" t="s">
        <v>1449</v>
      </c>
      <c r="G75" s="1368" t="s">
        <v>213</v>
      </c>
      <c r="H75" s="65">
        <v>43080</v>
      </c>
      <c r="I75" s="14"/>
      <c r="J75" s="177" t="s">
        <v>8</v>
      </c>
      <c r="K75" s="1379">
        <v>1.4999999999999999E-2</v>
      </c>
      <c r="L75" s="1380">
        <v>483.85</v>
      </c>
      <c r="M75" s="68">
        <v>72577.5</v>
      </c>
      <c r="N75" s="45" t="s">
        <v>210</v>
      </c>
      <c r="O75" s="367"/>
      <c r="P75" s="336">
        <f>M75*R75%</f>
        <v>5806.2</v>
      </c>
      <c r="Q75" s="336">
        <f t="shared" si="2"/>
        <v>5806.2</v>
      </c>
      <c r="R75" s="336">
        <v>8</v>
      </c>
      <c r="S75" s="1149">
        <v>41905</v>
      </c>
      <c r="T75" s="94" t="s">
        <v>1677</v>
      </c>
      <c r="U75" s="1388" t="s">
        <v>1629</v>
      </c>
    </row>
    <row r="76" spans="1:21" s="1367" customFormat="1" ht="112.5" x14ac:dyDescent="0.25">
      <c r="A76" s="8">
        <v>71</v>
      </c>
      <c r="B76" s="97" t="s">
        <v>214</v>
      </c>
      <c r="C76" s="8">
        <v>19230777</v>
      </c>
      <c r="D76" s="1373" t="s">
        <v>216</v>
      </c>
      <c r="E76" s="14" t="s">
        <v>2050</v>
      </c>
      <c r="F76" s="62" t="s">
        <v>1860</v>
      </c>
      <c r="G76" s="14" t="s">
        <v>2051</v>
      </c>
      <c r="H76" s="65">
        <v>42417</v>
      </c>
      <c r="I76" s="14"/>
      <c r="J76" s="14" t="s">
        <v>8</v>
      </c>
      <c r="K76" s="90">
        <v>5.1999999999999998E-3</v>
      </c>
      <c r="L76" s="68">
        <f>M76/52</f>
        <v>396.71999999999997</v>
      </c>
      <c r="M76" s="68">
        <v>20629.439999999999</v>
      </c>
      <c r="N76" s="68" t="s">
        <v>2052</v>
      </c>
      <c r="O76" s="367"/>
      <c r="P76" s="336">
        <f>M76*R76%</f>
        <v>1444.0608</v>
      </c>
      <c r="Q76" s="336">
        <f t="shared" si="2"/>
        <v>1444.0608</v>
      </c>
      <c r="R76" s="336">
        <v>7</v>
      </c>
      <c r="S76" s="308" t="s">
        <v>2569</v>
      </c>
      <c r="T76" s="91" t="s">
        <v>1678</v>
      </c>
      <c r="U76" s="62" t="s">
        <v>1639</v>
      </c>
    </row>
    <row r="77" spans="1:21" s="1367" customFormat="1" ht="56.25" x14ac:dyDescent="0.25">
      <c r="A77" s="8">
        <v>72</v>
      </c>
      <c r="B77" s="97" t="s">
        <v>217</v>
      </c>
      <c r="C77" s="8">
        <v>34532275</v>
      </c>
      <c r="D77" s="16" t="s">
        <v>219</v>
      </c>
      <c r="E77" s="14" t="s">
        <v>2669</v>
      </c>
      <c r="F77" s="62"/>
      <c r="G77" s="14" t="s">
        <v>221</v>
      </c>
      <c r="H77" s="65" t="s">
        <v>222</v>
      </c>
      <c r="I77" s="14" t="s">
        <v>223</v>
      </c>
      <c r="J77" s="14" t="s">
        <v>8</v>
      </c>
      <c r="K77" s="90">
        <v>0.4239</v>
      </c>
      <c r="L77" s="68">
        <v>682.76</v>
      </c>
      <c r="M77" s="68">
        <v>2894219.64</v>
      </c>
      <c r="N77" s="68" t="s">
        <v>224</v>
      </c>
      <c r="O77" s="367"/>
      <c r="P77" s="336">
        <f>M77*R77%</f>
        <v>347306.35680000001</v>
      </c>
      <c r="Q77" s="336">
        <f t="shared" si="2"/>
        <v>347306.35680000001</v>
      </c>
      <c r="R77" s="336">
        <v>12</v>
      </c>
      <c r="S77" s="308">
        <v>44650</v>
      </c>
      <c r="T77" s="91" t="s">
        <v>1670</v>
      </c>
      <c r="U77" s="62" t="s">
        <v>1679</v>
      </c>
    </row>
    <row r="78" spans="1:21" s="1367" customFormat="1" ht="131.25" x14ac:dyDescent="0.25">
      <c r="A78" s="8">
        <v>73</v>
      </c>
      <c r="B78" s="103" t="s">
        <v>225</v>
      </c>
      <c r="C78" s="14">
        <v>22751391</v>
      </c>
      <c r="D78" s="16" t="s">
        <v>227</v>
      </c>
      <c r="E78" s="14" t="s">
        <v>231</v>
      </c>
      <c r="F78" s="62" t="s">
        <v>3256</v>
      </c>
      <c r="G78" s="14" t="s">
        <v>231</v>
      </c>
      <c r="H78" s="65" t="s">
        <v>230</v>
      </c>
      <c r="I78" s="65" t="s">
        <v>3255</v>
      </c>
      <c r="J78" s="14" t="s">
        <v>8</v>
      </c>
      <c r="K78" s="90">
        <v>0.43869999999999998</v>
      </c>
      <c r="L78" s="68">
        <v>146.91</v>
      </c>
      <c r="M78" s="68">
        <v>644494.17000000004</v>
      </c>
      <c r="N78" s="68" t="s">
        <v>232</v>
      </c>
      <c r="O78" s="367"/>
      <c r="P78" s="336">
        <f>M78*R78%</f>
        <v>19334.825100000002</v>
      </c>
      <c r="Q78" s="336">
        <f t="shared" si="2"/>
        <v>19334.825100000002</v>
      </c>
      <c r="R78" s="336">
        <v>3</v>
      </c>
      <c r="S78" s="441">
        <v>45617</v>
      </c>
      <c r="T78" s="50" t="s">
        <v>1680</v>
      </c>
      <c r="U78" s="62" t="s">
        <v>1681</v>
      </c>
    </row>
    <row r="79" spans="1:21" s="1367" customFormat="1" ht="93.75" x14ac:dyDescent="0.25">
      <c r="A79" s="8">
        <v>74</v>
      </c>
      <c r="B79" s="103" t="s">
        <v>233</v>
      </c>
      <c r="C79" s="8">
        <v>22751114</v>
      </c>
      <c r="D79" s="16" t="s">
        <v>235</v>
      </c>
      <c r="E79" s="63" t="s">
        <v>237</v>
      </c>
      <c r="F79" s="81" t="s">
        <v>238</v>
      </c>
      <c r="G79" s="63" t="s">
        <v>239</v>
      </c>
      <c r="H79" s="93" t="s">
        <v>240</v>
      </c>
      <c r="I79" s="63" t="s">
        <v>3454</v>
      </c>
      <c r="J79" s="14" t="s">
        <v>8</v>
      </c>
      <c r="K79" s="90">
        <v>1.4618</v>
      </c>
      <c r="L79" s="68">
        <v>281.89999999999998</v>
      </c>
      <c r="M79" s="68">
        <v>4120814.1999999997</v>
      </c>
      <c r="N79" s="68" t="s">
        <v>241</v>
      </c>
      <c r="O79" s="367"/>
      <c r="P79" s="336">
        <f>M79*R79%</f>
        <v>41208.142</v>
      </c>
      <c r="Q79" s="336">
        <f t="shared" si="2"/>
        <v>41208.142</v>
      </c>
      <c r="R79" s="336">
        <v>1</v>
      </c>
      <c r="S79" s="441" t="s">
        <v>2556</v>
      </c>
      <c r="T79" s="50" t="s">
        <v>1682</v>
      </c>
      <c r="U79" s="62" t="s">
        <v>1639</v>
      </c>
    </row>
    <row r="80" spans="1:21" s="1367" customFormat="1" ht="75" x14ac:dyDescent="0.25">
      <c r="A80" s="8">
        <v>75</v>
      </c>
      <c r="B80" s="103" t="s">
        <v>233</v>
      </c>
      <c r="C80" s="8">
        <v>22751114</v>
      </c>
      <c r="D80" s="16" t="s">
        <v>242</v>
      </c>
      <c r="E80" s="63" t="s">
        <v>244</v>
      </c>
      <c r="F80" s="81" t="s">
        <v>245</v>
      </c>
      <c r="G80" s="63" t="s">
        <v>246</v>
      </c>
      <c r="H80" s="93" t="s">
        <v>247</v>
      </c>
      <c r="I80" s="63" t="s">
        <v>3453</v>
      </c>
      <c r="J80" s="14" t="s">
        <v>8</v>
      </c>
      <c r="K80" s="90">
        <v>0.30649999999999999</v>
      </c>
      <c r="L80" s="68">
        <v>281.89999999999998</v>
      </c>
      <c r="M80" s="68">
        <v>864023.49999999988</v>
      </c>
      <c r="N80" s="68" t="s">
        <v>248</v>
      </c>
      <c r="O80" s="367"/>
      <c r="P80" s="336">
        <f>M80*R80%</f>
        <v>8640.2349999999988</v>
      </c>
      <c r="Q80" s="336">
        <f t="shared" si="2"/>
        <v>8640.2349999999988</v>
      </c>
      <c r="R80" s="336">
        <v>1</v>
      </c>
      <c r="S80" s="441">
        <v>45224</v>
      </c>
      <c r="T80" s="50" t="s">
        <v>1683</v>
      </c>
      <c r="U80" s="62" t="s">
        <v>1639</v>
      </c>
    </row>
    <row r="81" spans="1:22" s="1367" customFormat="1" ht="56.25" x14ac:dyDescent="0.25">
      <c r="A81" s="8">
        <v>76</v>
      </c>
      <c r="B81" s="103" t="s">
        <v>233</v>
      </c>
      <c r="C81" s="8">
        <v>22751114</v>
      </c>
      <c r="D81" s="16" t="s">
        <v>2330</v>
      </c>
      <c r="E81" s="63" t="s">
        <v>2333</v>
      </c>
      <c r="F81" s="81" t="s">
        <v>2334</v>
      </c>
      <c r="G81" s="63" t="s">
        <v>2335</v>
      </c>
      <c r="H81" s="93" t="s">
        <v>2336</v>
      </c>
      <c r="I81" s="63"/>
      <c r="J81" s="14" t="s">
        <v>8</v>
      </c>
      <c r="K81" s="90">
        <v>1.0913999999999999</v>
      </c>
      <c r="L81" s="68">
        <f>M81/10914</f>
        <v>288.09999999999997</v>
      </c>
      <c r="M81" s="68">
        <v>3144323.4</v>
      </c>
      <c r="N81" s="68" t="s">
        <v>2337</v>
      </c>
      <c r="O81" s="367">
        <v>33015.43</v>
      </c>
      <c r="P81" s="336">
        <v>33015.43</v>
      </c>
      <c r="Q81" s="336">
        <f t="shared" si="2"/>
        <v>33015.43</v>
      </c>
      <c r="R81" s="336">
        <v>1.05</v>
      </c>
      <c r="S81" s="441" t="s">
        <v>2552</v>
      </c>
      <c r="T81" s="50" t="s">
        <v>2338</v>
      </c>
      <c r="U81" s="62" t="s">
        <v>1797</v>
      </c>
    </row>
    <row r="82" spans="1:22" s="1367" customFormat="1" ht="56.25" x14ac:dyDescent="0.25">
      <c r="A82" s="8">
        <v>77</v>
      </c>
      <c r="B82" s="103" t="s">
        <v>2512</v>
      </c>
      <c r="C82" s="14">
        <v>37339531</v>
      </c>
      <c r="D82" s="16" t="s">
        <v>249</v>
      </c>
      <c r="E82" s="14" t="s">
        <v>2769</v>
      </c>
      <c r="F82" s="62" t="s">
        <v>2227</v>
      </c>
      <c r="G82" s="14" t="s">
        <v>2770</v>
      </c>
      <c r="H82" s="65" t="s">
        <v>251</v>
      </c>
      <c r="I82" s="65">
        <v>43692</v>
      </c>
      <c r="J82" s="14" t="s">
        <v>8</v>
      </c>
      <c r="K82" s="90">
        <v>2.2532999999999999</v>
      </c>
      <c r="L82" s="68">
        <f>M82/22533</f>
        <v>149.82065148892735</v>
      </c>
      <c r="M82" s="68">
        <v>3375908.74</v>
      </c>
      <c r="N82" s="68" t="s">
        <v>2424</v>
      </c>
      <c r="O82" s="367"/>
      <c r="P82" s="336">
        <f>M82*R82%</f>
        <v>405109.04879999999</v>
      </c>
      <c r="Q82" s="336">
        <f t="shared" si="2"/>
        <v>405109.04879999999</v>
      </c>
      <c r="R82" s="336">
        <v>12</v>
      </c>
      <c r="S82" s="308">
        <v>44510</v>
      </c>
      <c r="T82" s="91" t="s">
        <v>1684</v>
      </c>
      <c r="U82" s="62" t="s">
        <v>1639</v>
      </c>
      <c r="V82" s="384" t="s">
        <v>2071</v>
      </c>
    </row>
    <row r="83" spans="1:22" s="1367" customFormat="1" ht="75" x14ac:dyDescent="0.25">
      <c r="A83" s="8">
        <v>78</v>
      </c>
      <c r="B83" s="103" t="s">
        <v>2512</v>
      </c>
      <c r="C83" s="14">
        <v>37339531</v>
      </c>
      <c r="D83" s="16" t="s">
        <v>253</v>
      </c>
      <c r="E83" s="14" t="s">
        <v>255</v>
      </c>
      <c r="F83" s="62" t="s">
        <v>1425</v>
      </c>
      <c r="G83" s="14" t="s">
        <v>256</v>
      </c>
      <c r="H83" s="65" t="s">
        <v>257</v>
      </c>
      <c r="I83" s="14" t="s">
        <v>2513</v>
      </c>
      <c r="J83" s="14" t="s">
        <v>8</v>
      </c>
      <c r="K83" s="90">
        <v>8.8629999999999995</v>
      </c>
      <c r="L83" s="68">
        <f>M83/88630</f>
        <v>336.35</v>
      </c>
      <c r="M83" s="68">
        <v>29810700.5</v>
      </c>
      <c r="N83" s="68" t="s">
        <v>2425</v>
      </c>
      <c r="O83" s="367"/>
      <c r="P83" s="336">
        <f>M83*R83%</f>
        <v>3577284.06</v>
      </c>
      <c r="Q83" s="336">
        <f t="shared" si="2"/>
        <v>3577284.06</v>
      </c>
      <c r="R83" s="336">
        <v>12</v>
      </c>
      <c r="S83" s="308">
        <v>43814</v>
      </c>
      <c r="T83" s="91" t="s">
        <v>1685</v>
      </c>
      <c r="U83" s="62" t="s">
        <v>1634</v>
      </c>
    </row>
    <row r="84" spans="1:22" s="1367" customFormat="1" ht="150" x14ac:dyDescent="0.25">
      <c r="A84" s="8">
        <v>79</v>
      </c>
      <c r="B84" s="103" t="s">
        <v>259</v>
      </c>
      <c r="C84" s="8">
        <v>33246433</v>
      </c>
      <c r="D84" s="16" t="s">
        <v>30</v>
      </c>
      <c r="E84" s="85" t="s">
        <v>258</v>
      </c>
      <c r="F84" s="86"/>
      <c r="G84" s="85"/>
      <c r="H84" s="92" t="s">
        <v>261</v>
      </c>
      <c r="I84" s="85"/>
      <c r="J84" s="14" t="s">
        <v>8</v>
      </c>
      <c r="K84" s="90">
        <v>0.35249999999999998</v>
      </c>
      <c r="L84" s="68">
        <v>216.57</v>
      </c>
      <c r="M84" s="68">
        <v>763409.25</v>
      </c>
      <c r="N84" s="68"/>
      <c r="O84" s="367"/>
      <c r="P84" s="336">
        <f>M84*R84%</f>
        <v>38170.462500000001</v>
      </c>
      <c r="Q84" s="336">
        <f t="shared" si="2"/>
        <v>38170.462500000001</v>
      </c>
      <c r="R84" s="336">
        <v>5</v>
      </c>
      <c r="S84" s="473">
        <v>5</v>
      </c>
      <c r="T84" s="91" t="s">
        <v>1686</v>
      </c>
      <c r="U84" s="62"/>
    </row>
    <row r="85" spans="1:22" s="1367" customFormat="1" ht="131.25" x14ac:dyDescent="0.25">
      <c r="A85" s="8">
        <v>80</v>
      </c>
      <c r="B85" s="103" t="s">
        <v>259</v>
      </c>
      <c r="C85" s="8">
        <v>33246433</v>
      </c>
      <c r="D85" s="16" t="s">
        <v>30</v>
      </c>
      <c r="E85" s="85" t="s">
        <v>263</v>
      </c>
      <c r="F85" s="86"/>
      <c r="G85" s="85"/>
      <c r="H85" s="92" t="s">
        <v>261</v>
      </c>
      <c r="I85" s="85"/>
      <c r="J85" s="14" t="s">
        <v>8</v>
      </c>
      <c r="K85" s="90">
        <v>4.0778999999999996</v>
      </c>
      <c r="L85" s="68">
        <v>216.57</v>
      </c>
      <c r="M85" s="68">
        <v>8831508.0299999993</v>
      </c>
      <c r="N85" s="68"/>
      <c r="O85" s="367"/>
      <c r="P85" s="336">
        <f>M85*R85%</f>
        <v>441575.40149999998</v>
      </c>
      <c r="Q85" s="336">
        <f t="shared" si="2"/>
        <v>441575.40149999998</v>
      </c>
      <c r="R85" s="336">
        <v>5</v>
      </c>
      <c r="S85" s="473">
        <v>5</v>
      </c>
      <c r="T85" s="91" t="s">
        <v>1687</v>
      </c>
      <c r="U85" s="62"/>
    </row>
    <row r="86" spans="1:22" s="1367" customFormat="1" ht="131.25" x14ac:dyDescent="0.25">
      <c r="A86" s="8">
        <v>81</v>
      </c>
      <c r="B86" s="103" t="s">
        <v>259</v>
      </c>
      <c r="C86" s="8">
        <v>33246433</v>
      </c>
      <c r="D86" s="16" t="s">
        <v>30</v>
      </c>
      <c r="E86" s="85" t="s">
        <v>265</v>
      </c>
      <c r="F86" s="86"/>
      <c r="G86" s="85"/>
      <c r="H86" s="92" t="s">
        <v>261</v>
      </c>
      <c r="I86" s="85"/>
      <c r="J86" s="14" t="s">
        <v>8</v>
      </c>
      <c r="K86" s="90">
        <v>4.4577999999999998</v>
      </c>
      <c r="L86" s="68">
        <v>216.57</v>
      </c>
      <c r="M86" s="68">
        <v>9654257.459999999</v>
      </c>
      <c r="N86" s="68"/>
      <c r="O86" s="367"/>
      <c r="P86" s="336">
        <f>M86*R86%</f>
        <v>482712.87299999996</v>
      </c>
      <c r="Q86" s="336">
        <f t="shared" si="2"/>
        <v>482712.87299999996</v>
      </c>
      <c r="R86" s="336">
        <v>5</v>
      </c>
      <c r="S86" s="473">
        <v>5</v>
      </c>
      <c r="T86" s="91" t="s">
        <v>1688</v>
      </c>
      <c r="U86" s="62"/>
    </row>
    <row r="87" spans="1:22" s="1367" customFormat="1" ht="93.75" x14ac:dyDescent="0.25">
      <c r="A87" s="8">
        <v>82</v>
      </c>
      <c r="B87" s="1381" t="s">
        <v>259</v>
      </c>
      <c r="C87" s="8">
        <v>33246433</v>
      </c>
      <c r="D87" s="8" t="s">
        <v>30</v>
      </c>
      <c r="E87" s="62" t="s">
        <v>267</v>
      </c>
      <c r="F87" s="62"/>
      <c r="G87" s="62"/>
      <c r="H87" s="65" t="s">
        <v>268</v>
      </c>
      <c r="I87" s="62"/>
      <c r="J87" s="14" t="s">
        <v>8</v>
      </c>
      <c r="K87" s="90">
        <v>4.4001999999999999</v>
      </c>
      <c r="L87" s="1369">
        <v>216.57</v>
      </c>
      <c r="M87" s="68">
        <v>9529513.1400000006</v>
      </c>
      <c r="N87" s="14"/>
      <c r="O87" s="367"/>
      <c r="P87" s="336">
        <f>M87*R87%</f>
        <v>476475.65700000006</v>
      </c>
      <c r="Q87" s="336">
        <f t="shared" si="2"/>
        <v>476475.65700000006</v>
      </c>
      <c r="R87" s="336">
        <v>5</v>
      </c>
      <c r="S87" s="473">
        <v>5</v>
      </c>
      <c r="T87" s="89" t="s">
        <v>1689</v>
      </c>
      <c r="U87" s="62"/>
    </row>
    <row r="88" spans="1:22" s="1367" customFormat="1" ht="56.25" x14ac:dyDescent="0.25">
      <c r="A88" s="8">
        <v>83</v>
      </c>
      <c r="B88" s="97" t="s">
        <v>259</v>
      </c>
      <c r="C88" s="8">
        <v>33246433</v>
      </c>
      <c r="D88" s="16" t="s">
        <v>30</v>
      </c>
      <c r="E88" s="62" t="s">
        <v>270</v>
      </c>
      <c r="F88" s="178"/>
      <c r="G88" s="178"/>
      <c r="H88" s="1382" t="s">
        <v>271</v>
      </c>
      <c r="I88" s="178"/>
      <c r="J88" s="177" t="s">
        <v>8</v>
      </c>
      <c r="K88" s="66">
        <v>0.22819999999999999</v>
      </c>
      <c r="L88" s="67">
        <v>240.66</v>
      </c>
      <c r="M88" s="68">
        <v>549186.12</v>
      </c>
      <c r="N88" s="68"/>
      <c r="O88" s="367"/>
      <c r="P88" s="336">
        <f>M88*R88%</f>
        <v>27459.306</v>
      </c>
      <c r="Q88" s="336">
        <f t="shared" si="2"/>
        <v>27459.306</v>
      </c>
      <c r="R88" s="336">
        <v>5</v>
      </c>
      <c r="S88" s="473">
        <v>5</v>
      </c>
      <c r="T88" s="69" t="s">
        <v>1690</v>
      </c>
      <c r="U88" s="62"/>
    </row>
    <row r="89" spans="1:22" s="1367" customFormat="1" ht="93.75" x14ac:dyDescent="0.25">
      <c r="A89" s="8">
        <v>84</v>
      </c>
      <c r="B89" s="97" t="s">
        <v>259</v>
      </c>
      <c r="C89" s="8">
        <v>33246433</v>
      </c>
      <c r="D89" s="16" t="s">
        <v>272</v>
      </c>
      <c r="E89" s="14" t="s">
        <v>274</v>
      </c>
      <c r="F89" s="62"/>
      <c r="G89" s="14"/>
      <c r="H89" s="65" t="s">
        <v>275</v>
      </c>
      <c r="I89" s="14"/>
      <c r="J89" s="14" t="s">
        <v>8</v>
      </c>
      <c r="K89" s="90">
        <v>0.3896</v>
      </c>
      <c r="L89" s="68">
        <v>75.38</v>
      </c>
      <c r="M89" s="68">
        <v>293680.48</v>
      </c>
      <c r="N89" s="68"/>
      <c r="O89" s="367"/>
      <c r="P89" s="336">
        <f>M89*R89%</f>
        <v>14684.023999999999</v>
      </c>
      <c r="Q89" s="336">
        <f t="shared" si="2"/>
        <v>14684.023999999999</v>
      </c>
      <c r="R89" s="336">
        <v>5</v>
      </c>
      <c r="S89" s="308" t="s">
        <v>1691</v>
      </c>
      <c r="T89" s="91" t="s">
        <v>1692</v>
      </c>
      <c r="U89" s="62"/>
    </row>
    <row r="90" spans="1:22" s="1367" customFormat="1" ht="56.25" x14ac:dyDescent="0.25">
      <c r="A90" s="8">
        <v>85</v>
      </c>
      <c r="B90" s="97" t="s">
        <v>276</v>
      </c>
      <c r="C90" s="8">
        <v>37073488</v>
      </c>
      <c r="D90" s="8" t="s">
        <v>278</v>
      </c>
      <c r="E90" s="62" t="s">
        <v>281</v>
      </c>
      <c r="F90" s="62" t="s">
        <v>1450</v>
      </c>
      <c r="G90" s="62" t="s">
        <v>282</v>
      </c>
      <c r="H90" s="65" t="s">
        <v>1451</v>
      </c>
      <c r="I90" s="62"/>
      <c r="J90" s="14" t="s">
        <v>8</v>
      </c>
      <c r="K90" s="1383">
        <v>10</v>
      </c>
      <c r="L90" s="1369">
        <v>34.590000000000003</v>
      </c>
      <c r="M90" s="68">
        <v>3459000.0000000005</v>
      </c>
      <c r="N90" s="14" t="s">
        <v>283</v>
      </c>
      <c r="O90" s="367"/>
      <c r="P90" s="336">
        <f>M90*R90%</f>
        <v>103770.00000000001</v>
      </c>
      <c r="Q90" s="336">
        <f t="shared" si="2"/>
        <v>103770.00000000001</v>
      </c>
      <c r="R90" s="336">
        <v>3</v>
      </c>
      <c r="S90" s="1384" t="s">
        <v>1693</v>
      </c>
      <c r="T90" s="94" t="s">
        <v>1694</v>
      </c>
      <c r="U90" s="62" t="s">
        <v>1695</v>
      </c>
    </row>
    <row r="91" spans="1:22" s="1367" customFormat="1" ht="56.25" x14ac:dyDescent="0.25">
      <c r="A91" s="8">
        <v>86</v>
      </c>
      <c r="B91" s="97" t="s">
        <v>284</v>
      </c>
      <c r="C91" s="1400">
        <v>31740114</v>
      </c>
      <c r="D91" s="1400" t="s">
        <v>285</v>
      </c>
      <c r="E91" s="177" t="s">
        <v>1871</v>
      </c>
      <c r="F91" s="178"/>
      <c r="G91" s="177" t="s">
        <v>1872</v>
      </c>
      <c r="H91" s="1382" t="s">
        <v>287</v>
      </c>
      <c r="I91" s="177" t="s">
        <v>1873</v>
      </c>
      <c r="J91" s="177" t="s">
        <v>8</v>
      </c>
      <c r="K91" s="1389">
        <v>0.42570000000000002</v>
      </c>
      <c r="L91" s="67">
        <v>468.19</v>
      </c>
      <c r="M91" s="68">
        <v>1993084.83</v>
      </c>
      <c r="N91" s="15" t="s">
        <v>1874</v>
      </c>
      <c r="O91" s="367"/>
      <c r="P91" s="336">
        <f>M91*R91%</f>
        <v>159446.78640000001</v>
      </c>
      <c r="Q91" s="336">
        <f t="shared" si="2"/>
        <v>159446.78640000001</v>
      </c>
      <c r="R91" s="336">
        <v>8</v>
      </c>
      <c r="S91" s="1457" t="s">
        <v>2129</v>
      </c>
      <c r="T91" s="1415" t="s">
        <v>1696</v>
      </c>
      <c r="U91" s="178" t="s">
        <v>1634</v>
      </c>
    </row>
    <row r="92" spans="1:22" s="1367" customFormat="1" ht="131.25" x14ac:dyDescent="0.25">
      <c r="A92" s="8">
        <v>87</v>
      </c>
      <c r="B92" s="97" t="s">
        <v>288</v>
      </c>
      <c r="C92" s="8">
        <v>38740126</v>
      </c>
      <c r="D92" s="8" t="s">
        <v>290</v>
      </c>
      <c r="E92" s="14" t="s">
        <v>293</v>
      </c>
      <c r="F92" s="62" t="s">
        <v>1452</v>
      </c>
      <c r="G92" s="14" t="s">
        <v>294</v>
      </c>
      <c r="H92" s="65">
        <v>41968</v>
      </c>
      <c r="I92" s="65" t="s">
        <v>295</v>
      </c>
      <c r="J92" s="14" t="s">
        <v>8</v>
      </c>
      <c r="K92" s="90">
        <v>0.15479999999999999</v>
      </c>
      <c r="L92" s="68">
        <v>149.83000000000001</v>
      </c>
      <c r="M92" s="68">
        <v>231936.84000000003</v>
      </c>
      <c r="N92" s="68" t="s">
        <v>296</v>
      </c>
      <c r="O92" s="367"/>
      <c r="P92" s="336">
        <f>M92*R92%</f>
        <v>18554.947200000002</v>
      </c>
      <c r="Q92" s="336">
        <f t="shared" si="2"/>
        <v>18554.947200000002</v>
      </c>
      <c r="R92" s="336">
        <v>8</v>
      </c>
      <c r="S92" s="308" t="s">
        <v>1697</v>
      </c>
      <c r="T92" s="91" t="s">
        <v>1698</v>
      </c>
      <c r="U92" s="62" t="s">
        <v>1632</v>
      </c>
    </row>
    <row r="93" spans="1:22" s="1367" customFormat="1" ht="56.25" x14ac:dyDescent="0.25">
      <c r="A93" s="8">
        <v>88</v>
      </c>
      <c r="B93" s="97" t="s">
        <v>2006</v>
      </c>
      <c r="C93" s="8">
        <v>40721689</v>
      </c>
      <c r="D93" s="16" t="s">
        <v>301</v>
      </c>
      <c r="E93" s="14" t="s">
        <v>2009</v>
      </c>
      <c r="F93" s="62" t="s">
        <v>2010</v>
      </c>
      <c r="G93" s="14" t="s">
        <v>2011</v>
      </c>
      <c r="H93" s="65" t="s">
        <v>303</v>
      </c>
      <c r="I93" s="14"/>
      <c r="J93" s="14" t="s">
        <v>8</v>
      </c>
      <c r="K93" s="90">
        <v>6.3100000000000003E-2</v>
      </c>
      <c r="L93" s="68">
        <v>422.82</v>
      </c>
      <c r="M93" s="68">
        <v>266799.42</v>
      </c>
      <c r="N93" s="68" t="s">
        <v>2012</v>
      </c>
      <c r="O93" s="367" t="s">
        <v>2114</v>
      </c>
      <c r="P93" s="336">
        <v>78599.820000000007</v>
      </c>
      <c r="Q93" s="336">
        <f t="shared" ref="Q93:Q118" si="3">P93</f>
        <v>78599.820000000007</v>
      </c>
      <c r="R93" s="336">
        <v>29.46</v>
      </c>
      <c r="S93" s="308">
        <v>44430</v>
      </c>
      <c r="T93" s="65" t="s">
        <v>1700</v>
      </c>
      <c r="U93" s="62"/>
    </row>
    <row r="94" spans="1:22" s="1367" customFormat="1" ht="56.25" x14ac:dyDescent="0.25">
      <c r="A94" s="8">
        <v>89</v>
      </c>
      <c r="B94" s="97" t="s">
        <v>304</v>
      </c>
      <c r="C94" s="14">
        <v>39783218</v>
      </c>
      <c r="D94" s="16" t="s">
        <v>306</v>
      </c>
      <c r="E94" s="65" t="s">
        <v>309</v>
      </c>
      <c r="F94" s="62" t="s">
        <v>1453</v>
      </c>
      <c r="G94" s="65" t="s">
        <v>310</v>
      </c>
      <c r="H94" s="65" t="s">
        <v>1454</v>
      </c>
      <c r="I94" s="65">
        <v>43361</v>
      </c>
      <c r="J94" s="14" t="s">
        <v>8</v>
      </c>
      <c r="K94" s="87">
        <v>0.66839999999999999</v>
      </c>
      <c r="L94" s="88">
        <v>205.27</v>
      </c>
      <c r="M94" s="68">
        <v>1372024.6800000002</v>
      </c>
      <c r="N94" s="68" t="s">
        <v>311</v>
      </c>
      <c r="O94" s="367"/>
      <c r="P94" s="336">
        <f>M94*R94%</f>
        <v>44590.802100000008</v>
      </c>
      <c r="Q94" s="336">
        <f t="shared" si="3"/>
        <v>44590.802100000008</v>
      </c>
      <c r="R94" s="336">
        <v>3.25</v>
      </c>
      <c r="S94" s="1421">
        <v>44415</v>
      </c>
      <c r="T94" s="93" t="s">
        <v>1701</v>
      </c>
      <c r="U94" s="62" t="s">
        <v>1702</v>
      </c>
    </row>
    <row r="95" spans="1:22" s="1367" customFormat="1" ht="75" x14ac:dyDescent="0.25">
      <c r="A95" s="8">
        <v>90</v>
      </c>
      <c r="B95" s="97" t="s">
        <v>3577</v>
      </c>
      <c r="C95" s="14">
        <v>14333937</v>
      </c>
      <c r="D95" s="16" t="s">
        <v>313</v>
      </c>
      <c r="E95" s="65" t="s">
        <v>2862</v>
      </c>
      <c r="F95" s="62" t="s">
        <v>2863</v>
      </c>
      <c r="G95" s="65" t="s">
        <v>2864</v>
      </c>
      <c r="H95" s="65">
        <v>42234</v>
      </c>
      <c r="I95" s="65" t="s">
        <v>3578</v>
      </c>
      <c r="J95" s="14" t="s">
        <v>8</v>
      </c>
      <c r="K95" s="87">
        <v>9.1700000000000004E-2</v>
      </c>
      <c r="L95" s="88">
        <f>M95/917</f>
        <v>1082.3700000000001</v>
      </c>
      <c r="M95" s="68">
        <v>992533.29</v>
      </c>
      <c r="N95" s="68" t="s">
        <v>3300</v>
      </c>
      <c r="O95" s="367"/>
      <c r="P95" s="336">
        <f>M95*R95%</f>
        <v>119103.9948</v>
      </c>
      <c r="Q95" s="336">
        <f t="shared" si="3"/>
        <v>119103.9948</v>
      </c>
      <c r="R95" s="336">
        <v>12</v>
      </c>
      <c r="S95" s="308">
        <v>45742</v>
      </c>
      <c r="T95" s="93" t="s">
        <v>3301</v>
      </c>
      <c r="U95" s="62" t="s">
        <v>1620</v>
      </c>
    </row>
    <row r="96" spans="1:22" s="1367" customFormat="1" ht="75" x14ac:dyDescent="0.25">
      <c r="A96" s="8">
        <v>91</v>
      </c>
      <c r="B96" s="97" t="s">
        <v>314</v>
      </c>
      <c r="C96" s="14" t="s">
        <v>1455</v>
      </c>
      <c r="D96" s="16" t="s">
        <v>316</v>
      </c>
      <c r="E96" s="65" t="s">
        <v>319</v>
      </c>
      <c r="F96" s="62" t="s">
        <v>320</v>
      </c>
      <c r="G96" s="65" t="s">
        <v>321</v>
      </c>
      <c r="H96" s="65" t="s">
        <v>64</v>
      </c>
      <c r="I96" s="65"/>
      <c r="J96" s="14" t="s">
        <v>8</v>
      </c>
      <c r="K96" s="87">
        <v>3.4000000000000002E-2</v>
      </c>
      <c r="L96" s="88">
        <f>M96/340</f>
        <v>572.1</v>
      </c>
      <c r="M96" s="68">
        <v>194514</v>
      </c>
      <c r="N96" s="68" t="s">
        <v>3393</v>
      </c>
      <c r="O96" s="367"/>
      <c r="P96" s="336">
        <f>M96*R96%</f>
        <v>5835.42</v>
      </c>
      <c r="Q96" s="336">
        <f t="shared" si="3"/>
        <v>5835.42</v>
      </c>
      <c r="R96" s="336">
        <v>3</v>
      </c>
      <c r="S96" s="308">
        <v>46182</v>
      </c>
      <c r="T96" s="93" t="s">
        <v>1703</v>
      </c>
      <c r="U96" s="62" t="s">
        <v>1681</v>
      </c>
    </row>
    <row r="97" spans="1:21" s="1367" customFormat="1" ht="37.5" x14ac:dyDescent="0.25">
      <c r="A97" s="8">
        <v>92</v>
      </c>
      <c r="B97" s="103" t="s">
        <v>322</v>
      </c>
      <c r="C97" s="14" t="s">
        <v>1456</v>
      </c>
      <c r="D97" s="16" t="s">
        <v>324</v>
      </c>
      <c r="E97" s="65" t="s">
        <v>326</v>
      </c>
      <c r="F97" s="62" t="s">
        <v>1457</v>
      </c>
      <c r="G97" s="65" t="s">
        <v>327</v>
      </c>
      <c r="H97" s="65" t="s">
        <v>328</v>
      </c>
      <c r="I97" s="630">
        <v>44083</v>
      </c>
      <c r="J97" s="14" t="s">
        <v>8</v>
      </c>
      <c r="K97" s="87">
        <v>0.24890000000000001</v>
      </c>
      <c r="L97" s="88">
        <v>1755.72</v>
      </c>
      <c r="M97" s="68">
        <v>4369987.08</v>
      </c>
      <c r="N97" s="14" t="s">
        <v>329</v>
      </c>
      <c r="O97" s="1125">
        <f>M97*1.05%</f>
        <v>45884.86434</v>
      </c>
      <c r="P97" s="336">
        <v>131099.60999999999</v>
      </c>
      <c r="Q97" s="394">
        <v>104588.38</v>
      </c>
      <c r="R97" s="336" t="s">
        <v>3788</v>
      </c>
      <c r="S97" s="308">
        <v>46581</v>
      </c>
      <c r="T97" s="93" t="s">
        <v>1704</v>
      </c>
      <c r="U97" s="62" t="s">
        <v>1705</v>
      </c>
    </row>
    <row r="98" spans="1:21" s="1367" customFormat="1" ht="56.25" x14ac:dyDescent="0.25">
      <c r="A98" s="8">
        <v>93</v>
      </c>
      <c r="B98" s="103" t="s">
        <v>322</v>
      </c>
      <c r="C98" s="14" t="s">
        <v>1456</v>
      </c>
      <c r="D98" s="16" t="s">
        <v>1890</v>
      </c>
      <c r="E98" s="65" t="s">
        <v>1893</v>
      </c>
      <c r="F98" s="62" t="s">
        <v>1895</v>
      </c>
      <c r="G98" s="65" t="s">
        <v>1896</v>
      </c>
      <c r="H98" s="65" t="s">
        <v>1897</v>
      </c>
      <c r="I98" s="65"/>
      <c r="J98" s="14" t="s">
        <v>8</v>
      </c>
      <c r="K98" s="87">
        <v>0.18720000000000001</v>
      </c>
      <c r="L98" s="88">
        <v>583.96</v>
      </c>
      <c r="M98" s="68">
        <v>1093173.1200000001</v>
      </c>
      <c r="N98" s="14" t="s">
        <v>1898</v>
      </c>
      <c r="O98" s="367"/>
      <c r="P98" s="336">
        <v>38042.550000000003</v>
      </c>
      <c r="Q98" s="336">
        <f t="shared" si="3"/>
        <v>38042.550000000003</v>
      </c>
      <c r="R98" s="336">
        <v>3.48</v>
      </c>
      <c r="S98" s="308" t="s">
        <v>2577</v>
      </c>
      <c r="T98" s="93" t="s">
        <v>1899</v>
      </c>
      <c r="U98" s="62" t="s">
        <v>1673</v>
      </c>
    </row>
    <row r="99" spans="1:21" s="1367" customFormat="1" ht="56.25" x14ac:dyDescent="0.25">
      <c r="A99" s="8">
        <v>94</v>
      </c>
      <c r="B99" s="103" t="s">
        <v>330</v>
      </c>
      <c r="C99" s="14" t="s">
        <v>1458</v>
      </c>
      <c r="D99" s="16" t="s">
        <v>331</v>
      </c>
      <c r="E99" s="65" t="s">
        <v>3364</v>
      </c>
      <c r="F99" s="62" t="s">
        <v>1459</v>
      </c>
      <c r="G99" s="65" t="s">
        <v>333</v>
      </c>
      <c r="H99" s="65" t="s">
        <v>334</v>
      </c>
      <c r="I99" s="65" t="s">
        <v>3456</v>
      </c>
      <c r="J99" s="14" t="s">
        <v>8</v>
      </c>
      <c r="K99" s="87">
        <v>2.4348999999999998</v>
      </c>
      <c r="L99" s="88">
        <v>244.83</v>
      </c>
      <c r="M99" s="68">
        <v>5961365.6699999999</v>
      </c>
      <c r="N99" s="14" t="s">
        <v>335</v>
      </c>
      <c r="O99" s="367"/>
      <c r="P99" s="336">
        <f>M99*R99%</f>
        <v>238454.6268</v>
      </c>
      <c r="Q99" s="336">
        <f t="shared" si="3"/>
        <v>238454.6268</v>
      </c>
      <c r="R99" s="336">
        <v>4</v>
      </c>
      <c r="S99" s="308">
        <v>44025</v>
      </c>
      <c r="T99" s="93" t="s">
        <v>1706</v>
      </c>
      <c r="U99" s="62" t="s">
        <v>1639</v>
      </c>
    </row>
    <row r="100" spans="1:21" s="1367" customFormat="1" ht="93.75" x14ac:dyDescent="0.25">
      <c r="A100" s="8">
        <v>95</v>
      </c>
      <c r="B100" s="103" t="s">
        <v>336</v>
      </c>
      <c r="C100" s="14">
        <v>38053614</v>
      </c>
      <c r="D100" s="16" t="s">
        <v>338</v>
      </c>
      <c r="E100" s="65" t="s">
        <v>341</v>
      </c>
      <c r="F100" s="65">
        <v>43082</v>
      </c>
      <c r="G100" s="65" t="s">
        <v>342</v>
      </c>
      <c r="H100" s="65" t="s">
        <v>1460</v>
      </c>
      <c r="I100" s="65"/>
      <c r="J100" s="14" t="s">
        <v>8</v>
      </c>
      <c r="K100" s="87">
        <v>0.56059999999999999</v>
      </c>
      <c r="L100" s="88">
        <v>189.88</v>
      </c>
      <c r="M100" s="68">
        <v>1064467.28</v>
      </c>
      <c r="N100" s="14" t="s">
        <v>343</v>
      </c>
      <c r="O100" s="367"/>
      <c r="P100" s="336">
        <f>M100*R100%</f>
        <v>58545.700400000002</v>
      </c>
      <c r="Q100" s="336">
        <f t="shared" si="3"/>
        <v>58545.700400000002</v>
      </c>
      <c r="R100" s="336">
        <v>5.5</v>
      </c>
      <c r="S100" s="308" t="s">
        <v>2578</v>
      </c>
      <c r="T100" s="93" t="s">
        <v>1707</v>
      </c>
      <c r="U100" s="62" t="s">
        <v>1708</v>
      </c>
    </row>
    <row r="101" spans="1:21" s="1367" customFormat="1" ht="56.25" x14ac:dyDescent="0.25">
      <c r="A101" s="8">
        <v>96</v>
      </c>
      <c r="B101" s="103" t="s">
        <v>344</v>
      </c>
      <c r="C101" s="14">
        <v>40923213</v>
      </c>
      <c r="D101" s="16" t="s">
        <v>346</v>
      </c>
      <c r="E101" s="65" t="s">
        <v>3409</v>
      </c>
      <c r="F101" s="62" t="s">
        <v>1461</v>
      </c>
      <c r="G101" s="65" t="s">
        <v>348</v>
      </c>
      <c r="H101" s="65" t="s">
        <v>349</v>
      </c>
      <c r="I101" s="1425" t="s">
        <v>3452</v>
      </c>
      <c r="J101" s="14" t="s">
        <v>8</v>
      </c>
      <c r="K101" s="87">
        <v>2.5907</v>
      </c>
      <c r="L101" s="88">
        <v>330.61</v>
      </c>
      <c r="M101" s="68">
        <v>8565113.2699999996</v>
      </c>
      <c r="N101" s="14" t="s">
        <v>350</v>
      </c>
      <c r="O101" s="367"/>
      <c r="P101" s="336">
        <f>M101*R101%</f>
        <v>89933.689335000003</v>
      </c>
      <c r="Q101" s="336">
        <f t="shared" si="3"/>
        <v>89933.689335000003</v>
      </c>
      <c r="R101" s="336">
        <v>1.05</v>
      </c>
      <c r="S101" s="308" t="s">
        <v>2579</v>
      </c>
      <c r="T101" s="93" t="s">
        <v>1709</v>
      </c>
      <c r="U101" s="62" t="s">
        <v>1710</v>
      </c>
    </row>
    <row r="102" spans="1:21" s="1367" customFormat="1" ht="37.5" x14ac:dyDescent="0.25">
      <c r="A102" s="8">
        <v>97</v>
      </c>
      <c r="B102" s="103" t="s">
        <v>351</v>
      </c>
      <c r="C102" s="14">
        <v>40325733</v>
      </c>
      <c r="D102" s="16" t="s">
        <v>353</v>
      </c>
      <c r="E102" s="65" t="s">
        <v>3410</v>
      </c>
      <c r="F102" s="62" t="s">
        <v>1462</v>
      </c>
      <c r="G102" s="65" t="s">
        <v>355</v>
      </c>
      <c r="H102" s="65" t="s">
        <v>356</v>
      </c>
      <c r="I102" s="65"/>
      <c r="J102" s="14" t="s">
        <v>8</v>
      </c>
      <c r="K102" s="87">
        <v>0.66069999999999995</v>
      </c>
      <c r="L102" s="88">
        <v>747.47</v>
      </c>
      <c r="M102" s="68">
        <v>4938534.2899999991</v>
      </c>
      <c r="N102" s="14" t="s">
        <v>357</v>
      </c>
      <c r="O102" s="367"/>
      <c r="P102" s="336">
        <f>M102*R102%</f>
        <v>592624.11479999986</v>
      </c>
      <c r="Q102" s="336">
        <f t="shared" si="3"/>
        <v>592624.11479999986</v>
      </c>
      <c r="R102" s="336">
        <v>12</v>
      </c>
      <c r="S102" s="308">
        <v>44025</v>
      </c>
      <c r="T102" s="93" t="s">
        <v>1670</v>
      </c>
      <c r="U102" s="62" t="s">
        <v>1711</v>
      </c>
    </row>
    <row r="103" spans="1:21" s="1367" customFormat="1" ht="37.5" x14ac:dyDescent="0.25">
      <c r="A103" s="8">
        <v>98</v>
      </c>
      <c r="B103" s="103" t="s">
        <v>351</v>
      </c>
      <c r="C103" s="14">
        <v>40325733</v>
      </c>
      <c r="D103" s="16" t="s">
        <v>358</v>
      </c>
      <c r="E103" s="65" t="s">
        <v>3411</v>
      </c>
      <c r="F103" s="62" t="s">
        <v>1462</v>
      </c>
      <c r="G103" s="65" t="s">
        <v>360</v>
      </c>
      <c r="H103" s="65" t="s">
        <v>356</v>
      </c>
      <c r="I103" s="65"/>
      <c r="J103" s="14" t="s">
        <v>8</v>
      </c>
      <c r="K103" s="87">
        <v>0.49170000000000003</v>
      </c>
      <c r="L103" s="88">
        <v>510.3</v>
      </c>
      <c r="M103" s="68">
        <v>2509145.1</v>
      </c>
      <c r="N103" s="14" t="s">
        <v>361</v>
      </c>
      <c r="O103" s="367"/>
      <c r="P103" s="336">
        <f>M103*R103%</f>
        <v>301097.41200000001</v>
      </c>
      <c r="Q103" s="336">
        <f t="shared" si="3"/>
        <v>301097.41200000001</v>
      </c>
      <c r="R103" s="336">
        <v>12</v>
      </c>
      <c r="S103" s="308" t="s">
        <v>2546</v>
      </c>
      <c r="T103" s="93" t="s">
        <v>1670</v>
      </c>
      <c r="U103" s="62" t="s">
        <v>1711</v>
      </c>
    </row>
    <row r="104" spans="1:21" s="1367" customFormat="1" ht="37.5" x14ac:dyDescent="0.25">
      <c r="A104" s="8">
        <v>99</v>
      </c>
      <c r="B104" s="103" t="s">
        <v>362</v>
      </c>
      <c r="C104" s="14">
        <v>21286489</v>
      </c>
      <c r="D104" s="16" t="s">
        <v>364</v>
      </c>
      <c r="E104" s="65" t="s">
        <v>3412</v>
      </c>
      <c r="F104" s="62" t="s">
        <v>1463</v>
      </c>
      <c r="G104" s="65" t="s">
        <v>365</v>
      </c>
      <c r="H104" s="65" t="s">
        <v>1464</v>
      </c>
      <c r="I104" s="65" t="s">
        <v>3478</v>
      </c>
      <c r="J104" s="14" t="s">
        <v>8</v>
      </c>
      <c r="K104" s="87">
        <v>0.3478</v>
      </c>
      <c r="L104" s="88">
        <f>M104/3478</f>
        <v>369.36</v>
      </c>
      <c r="M104" s="68">
        <v>1284634.08</v>
      </c>
      <c r="N104" s="14" t="s">
        <v>3377</v>
      </c>
      <c r="O104" s="367"/>
      <c r="P104" s="336">
        <f>M104*R104%</f>
        <v>13488.657840000002</v>
      </c>
      <c r="Q104" s="336">
        <f t="shared" si="3"/>
        <v>13488.657840000002</v>
      </c>
      <c r="R104" s="336">
        <v>1.05</v>
      </c>
      <c r="S104" s="308" t="s">
        <v>2580</v>
      </c>
      <c r="T104" s="93" t="s">
        <v>1712</v>
      </c>
      <c r="U104" s="62" t="s">
        <v>1713</v>
      </c>
    </row>
    <row r="105" spans="1:21" s="1367" customFormat="1" ht="60" customHeight="1" x14ac:dyDescent="0.25">
      <c r="A105" s="8">
        <v>100</v>
      </c>
      <c r="B105" s="103" t="s">
        <v>366</v>
      </c>
      <c r="C105" s="14">
        <v>19223323</v>
      </c>
      <c r="D105" s="16" t="s">
        <v>368</v>
      </c>
      <c r="E105" s="65" t="s">
        <v>3413</v>
      </c>
      <c r="F105" s="62" t="s">
        <v>1465</v>
      </c>
      <c r="G105" s="65" t="s">
        <v>370</v>
      </c>
      <c r="H105" s="65" t="s">
        <v>1466</v>
      </c>
      <c r="I105" s="65">
        <v>43180</v>
      </c>
      <c r="J105" s="14" t="s">
        <v>8</v>
      </c>
      <c r="K105" s="87">
        <v>9.9500000000000005E-2</v>
      </c>
      <c r="L105" s="88">
        <v>208.19</v>
      </c>
      <c r="M105" s="68">
        <v>207149.05</v>
      </c>
      <c r="N105" s="14" t="s">
        <v>371</v>
      </c>
      <c r="O105" s="367"/>
      <c r="P105" s="336">
        <f>M105*R105%</f>
        <v>17607.669249999999</v>
      </c>
      <c r="Q105" s="336">
        <f t="shared" si="3"/>
        <v>17607.669249999999</v>
      </c>
      <c r="R105" s="336">
        <v>8.5</v>
      </c>
      <c r="S105" s="308" t="s">
        <v>2550</v>
      </c>
      <c r="T105" s="93" t="s">
        <v>1714</v>
      </c>
      <c r="U105" s="62" t="s">
        <v>1632</v>
      </c>
    </row>
    <row r="106" spans="1:21" s="1367" customFormat="1" ht="42" customHeight="1" x14ac:dyDescent="0.25">
      <c r="A106" s="8">
        <v>101</v>
      </c>
      <c r="B106" s="103" t="s">
        <v>374</v>
      </c>
      <c r="C106" s="14">
        <v>24956677</v>
      </c>
      <c r="D106" s="16" t="s">
        <v>376</v>
      </c>
      <c r="E106" s="65" t="s">
        <v>379</v>
      </c>
      <c r="F106" s="62" t="s">
        <v>1467</v>
      </c>
      <c r="G106" s="65" t="s">
        <v>380</v>
      </c>
      <c r="H106" s="65" t="s">
        <v>1468</v>
      </c>
      <c r="I106" s="65"/>
      <c r="J106" s="14" t="s">
        <v>8</v>
      </c>
      <c r="K106" s="87">
        <v>1.4337</v>
      </c>
      <c r="L106" s="88">
        <v>219.02</v>
      </c>
      <c r="M106" s="68">
        <v>3140089.74</v>
      </c>
      <c r="N106" s="14" t="s">
        <v>381</v>
      </c>
      <c r="O106" s="367"/>
      <c r="P106" s="336">
        <f>M106*R106%</f>
        <v>141304.03830000001</v>
      </c>
      <c r="Q106" s="336">
        <f t="shared" si="3"/>
        <v>141304.03830000001</v>
      </c>
      <c r="R106" s="336">
        <v>4.5</v>
      </c>
      <c r="S106" s="308" t="s">
        <v>2581</v>
      </c>
      <c r="T106" s="93" t="s">
        <v>1716</v>
      </c>
      <c r="U106" s="62" t="s">
        <v>1632</v>
      </c>
    </row>
    <row r="107" spans="1:21" s="1367" customFormat="1" ht="47.25" customHeight="1" x14ac:dyDescent="0.25">
      <c r="A107" s="8">
        <v>102</v>
      </c>
      <c r="B107" s="103" t="s">
        <v>374</v>
      </c>
      <c r="C107" s="14">
        <v>24956677</v>
      </c>
      <c r="D107" s="16" t="s">
        <v>382</v>
      </c>
      <c r="E107" s="65" t="s">
        <v>384</v>
      </c>
      <c r="F107" s="62" t="s">
        <v>1467</v>
      </c>
      <c r="G107" s="65" t="s">
        <v>385</v>
      </c>
      <c r="H107" s="65" t="s">
        <v>1468</v>
      </c>
      <c r="I107" s="65"/>
      <c r="J107" s="14" t="s">
        <v>8</v>
      </c>
      <c r="K107" s="87">
        <v>1.6907000000000001</v>
      </c>
      <c r="L107" s="88">
        <v>205.02</v>
      </c>
      <c r="M107" s="68">
        <v>3466273.14</v>
      </c>
      <c r="N107" s="14" t="s">
        <v>386</v>
      </c>
      <c r="O107" s="367"/>
      <c r="P107" s="336">
        <f>M107*R107%</f>
        <v>155982.29130000001</v>
      </c>
      <c r="Q107" s="336">
        <f t="shared" si="3"/>
        <v>155982.29130000001</v>
      </c>
      <c r="R107" s="336">
        <v>4.5</v>
      </c>
      <c r="S107" s="308">
        <v>46280</v>
      </c>
      <c r="T107" s="65" t="s">
        <v>1625</v>
      </c>
      <c r="U107" s="62" t="s">
        <v>1632</v>
      </c>
    </row>
    <row r="108" spans="1:21" s="1367" customFormat="1" ht="75" x14ac:dyDescent="0.25">
      <c r="A108" s="8">
        <v>103</v>
      </c>
      <c r="B108" s="103" t="s">
        <v>387</v>
      </c>
      <c r="C108" s="8">
        <v>32418283</v>
      </c>
      <c r="D108" s="8" t="s">
        <v>389</v>
      </c>
      <c r="E108" s="14" t="s">
        <v>392</v>
      </c>
      <c r="F108" s="62" t="s">
        <v>1469</v>
      </c>
      <c r="G108" s="14" t="s">
        <v>393</v>
      </c>
      <c r="H108" s="65" t="s">
        <v>65</v>
      </c>
      <c r="I108" s="14" t="s">
        <v>3792</v>
      </c>
      <c r="J108" s="14" t="s">
        <v>8</v>
      </c>
      <c r="K108" s="90">
        <v>1.2999999999999999E-2</v>
      </c>
      <c r="L108" s="68">
        <v>598.24</v>
      </c>
      <c r="M108" s="68">
        <v>77771.199999999997</v>
      </c>
      <c r="N108" s="68" t="s">
        <v>394</v>
      </c>
      <c r="O108" s="367"/>
      <c r="P108" s="336">
        <f>M108*R108%</f>
        <v>9332.5439999999999</v>
      </c>
      <c r="Q108" s="336">
        <f t="shared" si="3"/>
        <v>9332.5439999999999</v>
      </c>
      <c r="R108" s="336">
        <v>12</v>
      </c>
      <c r="S108" s="308">
        <v>45011</v>
      </c>
      <c r="T108" s="91" t="s">
        <v>3793</v>
      </c>
      <c r="U108" s="62" t="s">
        <v>1634</v>
      </c>
    </row>
    <row r="109" spans="1:21" s="1367" customFormat="1" ht="69" customHeight="1" x14ac:dyDescent="0.25">
      <c r="A109" s="8">
        <v>104</v>
      </c>
      <c r="B109" s="97" t="s">
        <v>395</v>
      </c>
      <c r="C109" s="8">
        <v>19225351</v>
      </c>
      <c r="D109" s="16" t="s">
        <v>3909</v>
      </c>
      <c r="E109" s="14" t="s">
        <v>399</v>
      </c>
      <c r="F109" s="62" t="s">
        <v>1470</v>
      </c>
      <c r="G109" s="14" t="s">
        <v>400</v>
      </c>
      <c r="H109" s="65" t="s">
        <v>1471</v>
      </c>
      <c r="I109" s="14" t="s">
        <v>3794</v>
      </c>
      <c r="J109" s="14" t="s">
        <v>8</v>
      </c>
      <c r="K109" s="90">
        <v>1.4999999999999999E-2</v>
      </c>
      <c r="L109" s="68">
        <v>931.19</v>
      </c>
      <c r="M109" s="68">
        <v>139678.5</v>
      </c>
      <c r="N109" s="8" t="s">
        <v>401</v>
      </c>
      <c r="O109" s="367"/>
      <c r="P109" s="336">
        <f>M109*R109%</f>
        <v>13269.4575</v>
      </c>
      <c r="Q109" s="336">
        <f t="shared" si="3"/>
        <v>13269.4575</v>
      </c>
      <c r="R109" s="336">
        <v>9.5</v>
      </c>
      <c r="S109" s="308">
        <v>45142</v>
      </c>
      <c r="T109" s="91" t="s">
        <v>1718</v>
      </c>
      <c r="U109" s="62" t="s">
        <v>1634</v>
      </c>
    </row>
    <row r="110" spans="1:21" s="1367" customFormat="1" ht="56.25" x14ac:dyDescent="0.25">
      <c r="A110" s="8">
        <v>105</v>
      </c>
      <c r="B110" s="97" t="s">
        <v>402</v>
      </c>
      <c r="C110" s="8">
        <v>23136825</v>
      </c>
      <c r="D110" s="16" t="s">
        <v>404</v>
      </c>
      <c r="E110" s="14" t="s">
        <v>407</v>
      </c>
      <c r="F110" s="62" t="s">
        <v>408</v>
      </c>
      <c r="G110" s="14" t="s">
        <v>409</v>
      </c>
      <c r="H110" s="65" t="s">
        <v>410</v>
      </c>
      <c r="I110" s="14"/>
      <c r="J110" s="14" t="s">
        <v>8</v>
      </c>
      <c r="K110" s="90">
        <v>5.2600000000000001E-2</v>
      </c>
      <c r="L110" s="68">
        <v>853.15</v>
      </c>
      <c r="M110" s="68">
        <v>448756.89999999997</v>
      </c>
      <c r="N110" s="68" t="s">
        <v>411</v>
      </c>
      <c r="O110" s="367"/>
      <c r="P110" s="336">
        <f>M110*R110%</f>
        <v>20194.060499999996</v>
      </c>
      <c r="Q110" s="336">
        <f t="shared" si="3"/>
        <v>20194.060499999996</v>
      </c>
      <c r="R110" s="336">
        <v>4.5</v>
      </c>
      <c r="S110" s="308" t="s">
        <v>2583</v>
      </c>
      <c r="T110" s="14" t="s">
        <v>1719</v>
      </c>
      <c r="U110" s="62" t="s">
        <v>1713</v>
      </c>
    </row>
    <row r="111" spans="1:21" s="1367" customFormat="1" ht="75" x14ac:dyDescent="0.25">
      <c r="A111" s="8">
        <v>106</v>
      </c>
      <c r="B111" s="103" t="s">
        <v>412</v>
      </c>
      <c r="C111" s="8">
        <v>34524327</v>
      </c>
      <c r="D111" s="8" t="s">
        <v>414</v>
      </c>
      <c r="E111" s="14" t="s">
        <v>416</v>
      </c>
      <c r="F111" s="62" t="s">
        <v>1441</v>
      </c>
      <c r="G111" s="14" t="s">
        <v>417</v>
      </c>
      <c r="H111" s="65" t="s">
        <v>1472</v>
      </c>
      <c r="I111" s="14"/>
      <c r="J111" s="14" t="s">
        <v>8</v>
      </c>
      <c r="K111" s="90">
        <v>0.498</v>
      </c>
      <c r="L111" s="68">
        <v>1133.6600000000001</v>
      </c>
      <c r="M111" s="68">
        <v>5645626.8000000007</v>
      </c>
      <c r="N111" s="68" t="s">
        <v>418</v>
      </c>
      <c r="O111" s="367"/>
      <c r="P111" s="336">
        <f>M111*R111%</f>
        <v>677475.21600000001</v>
      </c>
      <c r="Q111" s="336">
        <f t="shared" si="3"/>
        <v>677475.21600000001</v>
      </c>
      <c r="R111" s="336">
        <v>12</v>
      </c>
      <c r="S111" s="308" t="s">
        <v>2556</v>
      </c>
      <c r="T111" s="91" t="s">
        <v>1720</v>
      </c>
      <c r="U111" s="62" t="s">
        <v>1713</v>
      </c>
    </row>
    <row r="112" spans="1:21" s="1367" customFormat="1" ht="75" x14ac:dyDescent="0.25">
      <c r="A112" s="8">
        <v>107</v>
      </c>
      <c r="B112" s="103" t="s">
        <v>419</v>
      </c>
      <c r="C112" s="8">
        <v>31683774</v>
      </c>
      <c r="D112" s="8" t="s">
        <v>2145</v>
      </c>
      <c r="E112" s="14" t="s">
        <v>2147</v>
      </c>
      <c r="F112" s="62" t="s">
        <v>2152</v>
      </c>
      <c r="G112" s="14" t="s">
        <v>2148</v>
      </c>
      <c r="H112" s="65">
        <v>43525</v>
      </c>
      <c r="I112" s="14"/>
      <c r="J112" s="14" t="s">
        <v>8</v>
      </c>
      <c r="K112" s="90">
        <v>0.4995</v>
      </c>
      <c r="L112" s="68">
        <v>1889.18</v>
      </c>
      <c r="M112" s="68">
        <f>L112*4995</f>
        <v>9436454.0999999996</v>
      </c>
      <c r="N112" s="68" t="s">
        <v>2149</v>
      </c>
      <c r="O112" s="367"/>
      <c r="P112" s="336">
        <f>M112*R112%</f>
        <v>94364.540999999997</v>
      </c>
      <c r="Q112" s="336">
        <f t="shared" si="3"/>
        <v>94364.540999999997</v>
      </c>
      <c r="R112" s="336">
        <v>1</v>
      </c>
      <c r="S112" s="308" t="s">
        <v>2560</v>
      </c>
      <c r="T112" s="91" t="s">
        <v>1721</v>
      </c>
      <c r="U112" s="62" t="s">
        <v>1722</v>
      </c>
    </row>
    <row r="113" spans="1:22" s="1367" customFormat="1" ht="77.25" x14ac:dyDescent="0.25">
      <c r="A113" s="8">
        <v>108</v>
      </c>
      <c r="B113" s="103" t="s">
        <v>3658</v>
      </c>
      <c r="C113" s="8" t="s">
        <v>3659</v>
      </c>
      <c r="D113" s="8" t="s">
        <v>2150</v>
      </c>
      <c r="E113" s="14" t="s">
        <v>2151</v>
      </c>
      <c r="F113" s="62" t="s">
        <v>2152</v>
      </c>
      <c r="G113" s="14" t="s">
        <v>2153</v>
      </c>
      <c r="H113" s="65">
        <v>43525</v>
      </c>
      <c r="I113" s="14"/>
      <c r="J113" s="14" t="s">
        <v>8</v>
      </c>
      <c r="K113" s="90">
        <v>0.14729999999999999</v>
      </c>
      <c r="L113" s="68">
        <v>1889.18</v>
      </c>
      <c r="M113" s="68">
        <f>L113*1473</f>
        <v>2782762.14</v>
      </c>
      <c r="N113" s="68" t="s">
        <v>2154</v>
      </c>
      <c r="O113" s="367"/>
      <c r="P113" s="336">
        <f>M113*R113%</f>
        <v>27827.621400000004</v>
      </c>
      <c r="Q113" s="336">
        <f t="shared" si="3"/>
        <v>27827.621400000004</v>
      </c>
      <c r="R113" s="336">
        <v>1</v>
      </c>
      <c r="S113" s="308" t="s">
        <v>2560</v>
      </c>
      <c r="T113" s="91" t="s">
        <v>1721</v>
      </c>
      <c r="U113" s="62" t="s">
        <v>1722</v>
      </c>
    </row>
    <row r="114" spans="1:22" s="1367" customFormat="1" ht="75" x14ac:dyDescent="0.25">
      <c r="A114" s="8">
        <v>109</v>
      </c>
      <c r="B114" s="103" t="s">
        <v>419</v>
      </c>
      <c r="C114" s="8">
        <v>31683774</v>
      </c>
      <c r="D114" s="8" t="s">
        <v>2158</v>
      </c>
      <c r="E114" s="14" t="s">
        <v>2159</v>
      </c>
      <c r="F114" s="62" t="s">
        <v>2152</v>
      </c>
      <c r="G114" s="14" t="s">
        <v>2160</v>
      </c>
      <c r="H114" s="65">
        <v>43525</v>
      </c>
      <c r="I114" s="14"/>
      <c r="J114" s="14" t="s">
        <v>8</v>
      </c>
      <c r="K114" s="90">
        <v>6.5000000000000002E-2</v>
      </c>
      <c r="L114" s="68">
        <v>1889.18</v>
      </c>
      <c r="M114" s="68">
        <f>L114*650</f>
        <v>1227967</v>
      </c>
      <c r="N114" s="68" t="s">
        <v>2161</v>
      </c>
      <c r="O114" s="367"/>
      <c r="P114" s="336">
        <f>M114*R114%</f>
        <v>12279.67</v>
      </c>
      <c r="Q114" s="336">
        <f t="shared" si="3"/>
        <v>12279.67</v>
      </c>
      <c r="R114" s="336">
        <v>1</v>
      </c>
      <c r="S114" s="308" t="s">
        <v>2560</v>
      </c>
      <c r="T114" s="91" t="s">
        <v>1721</v>
      </c>
      <c r="U114" s="62" t="s">
        <v>1722</v>
      </c>
    </row>
    <row r="115" spans="1:22" s="1367" customFormat="1" ht="56.25" x14ac:dyDescent="0.25">
      <c r="A115" s="8">
        <v>110</v>
      </c>
      <c r="B115" s="103" t="s">
        <v>422</v>
      </c>
      <c r="C115" s="8">
        <v>40802474</v>
      </c>
      <c r="D115" s="8" t="s">
        <v>3844</v>
      </c>
      <c r="E115" s="14" t="s">
        <v>3845</v>
      </c>
      <c r="F115" s="62" t="s">
        <v>3853</v>
      </c>
      <c r="G115" s="14" t="s">
        <v>3846</v>
      </c>
      <c r="H115" s="65">
        <v>44100</v>
      </c>
      <c r="I115" s="14"/>
      <c r="J115" s="14" t="s">
        <v>8</v>
      </c>
      <c r="K115" s="90">
        <v>0.1981</v>
      </c>
      <c r="L115" s="68">
        <f>M115/1981</f>
        <v>1570.22</v>
      </c>
      <c r="M115" s="68">
        <v>3110605.82</v>
      </c>
      <c r="N115" s="68" t="s">
        <v>3847</v>
      </c>
      <c r="O115" s="367"/>
      <c r="P115" s="336">
        <v>248848.47</v>
      </c>
      <c r="Q115" s="336">
        <v>65668.34</v>
      </c>
      <c r="R115" s="336">
        <v>8</v>
      </c>
      <c r="S115" s="308">
        <v>45144</v>
      </c>
      <c r="T115" s="91" t="s">
        <v>1723</v>
      </c>
      <c r="U115" s="62" t="s">
        <v>1634</v>
      </c>
    </row>
    <row r="116" spans="1:22" s="1367" customFormat="1" ht="56.25" x14ac:dyDescent="0.25">
      <c r="A116" s="8">
        <v>111</v>
      </c>
      <c r="B116" s="103" t="s">
        <v>422</v>
      </c>
      <c r="C116" s="8">
        <v>40802474</v>
      </c>
      <c r="D116" s="8" t="s">
        <v>3848</v>
      </c>
      <c r="E116" s="14" t="s">
        <v>3849</v>
      </c>
      <c r="F116" s="62" t="s">
        <v>3852</v>
      </c>
      <c r="G116" s="14" t="s">
        <v>3850</v>
      </c>
      <c r="H116" s="65">
        <v>44100</v>
      </c>
      <c r="I116" s="14"/>
      <c r="J116" s="14" t="s">
        <v>8</v>
      </c>
      <c r="K116" s="90">
        <v>1.2800000000000001E-2</v>
      </c>
      <c r="L116" s="68">
        <f>M116/128</f>
        <v>1570.22</v>
      </c>
      <c r="M116" s="68">
        <v>200988.16</v>
      </c>
      <c r="N116" s="68" t="s">
        <v>3851</v>
      </c>
      <c r="O116" s="367"/>
      <c r="P116" s="336">
        <f>M116*R116%</f>
        <v>16079.052800000001</v>
      </c>
      <c r="Q116" s="336">
        <v>4243.08</v>
      </c>
      <c r="R116" s="336">
        <v>8</v>
      </c>
      <c r="S116" s="308">
        <v>45144</v>
      </c>
      <c r="T116" s="91" t="s">
        <v>1723</v>
      </c>
      <c r="U116" s="62" t="s">
        <v>1634</v>
      </c>
    </row>
    <row r="117" spans="1:22" s="1367" customFormat="1" ht="110.25" customHeight="1" x14ac:dyDescent="0.25">
      <c r="A117" s="8">
        <v>112</v>
      </c>
      <c r="B117" s="103" t="s">
        <v>434</v>
      </c>
      <c r="C117" s="14">
        <v>30691543</v>
      </c>
      <c r="D117" s="16" t="s">
        <v>436</v>
      </c>
      <c r="E117" s="14" t="s">
        <v>438</v>
      </c>
      <c r="F117" s="62" t="s">
        <v>439</v>
      </c>
      <c r="G117" s="14" t="s">
        <v>440</v>
      </c>
      <c r="H117" s="65" t="s">
        <v>441</v>
      </c>
      <c r="I117" s="14" t="s">
        <v>3455</v>
      </c>
      <c r="J117" s="14" t="s">
        <v>8</v>
      </c>
      <c r="K117" s="90">
        <v>7.2400000000000006E-2</v>
      </c>
      <c r="L117" s="68">
        <v>853.15</v>
      </c>
      <c r="M117" s="68">
        <v>617680.6</v>
      </c>
      <c r="N117" s="68" t="s">
        <v>442</v>
      </c>
      <c r="O117" s="367"/>
      <c r="P117" s="336">
        <f>M117*R117%</f>
        <v>74121.671999999991</v>
      </c>
      <c r="Q117" s="336">
        <f t="shared" si="3"/>
        <v>74121.671999999991</v>
      </c>
      <c r="R117" s="336">
        <v>12</v>
      </c>
      <c r="S117" s="308" t="s">
        <v>3097</v>
      </c>
      <c r="T117" s="94" t="s">
        <v>1724</v>
      </c>
      <c r="U117" s="62" t="s">
        <v>1634</v>
      </c>
    </row>
    <row r="118" spans="1:22" s="1367" customFormat="1" ht="150" x14ac:dyDescent="0.25">
      <c r="A118" s="8">
        <v>113</v>
      </c>
      <c r="B118" s="103" t="s">
        <v>443</v>
      </c>
      <c r="C118" s="14">
        <v>41128244</v>
      </c>
      <c r="D118" s="16" t="s">
        <v>445</v>
      </c>
      <c r="E118" s="14" t="s">
        <v>448</v>
      </c>
      <c r="F118" s="62" t="s">
        <v>449</v>
      </c>
      <c r="G118" s="14" t="s">
        <v>450</v>
      </c>
      <c r="H118" s="65" t="s">
        <v>1474</v>
      </c>
      <c r="I118" s="14"/>
      <c r="J118" s="14" t="s">
        <v>8</v>
      </c>
      <c r="K118" s="90">
        <v>20.14</v>
      </c>
      <c r="L118" s="68">
        <v>147.21</v>
      </c>
      <c r="M118" s="68">
        <v>29648094</v>
      </c>
      <c r="N118" s="68" t="s">
        <v>451</v>
      </c>
      <c r="O118" s="367"/>
      <c r="P118" s="336">
        <f>M118*R118%</f>
        <v>296480.94</v>
      </c>
      <c r="Q118" s="336">
        <f t="shared" si="3"/>
        <v>296480.94</v>
      </c>
      <c r="R118" s="336">
        <v>1</v>
      </c>
      <c r="S118" s="308" t="s">
        <v>2584</v>
      </c>
      <c r="T118" s="94" t="s">
        <v>1725</v>
      </c>
      <c r="U118" s="62" t="s">
        <v>1726</v>
      </c>
    </row>
    <row r="119" spans="1:22" s="1367" customFormat="1" ht="56.25" x14ac:dyDescent="0.25">
      <c r="A119" s="8">
        <v>114</v>
      </c>
      <c r="B119" s="103" t="s">
        <v>2053</v>
      </c>
      <c r="C119" s="14">
        <v>42621469</v>
      </c>
      <c r="D119" s="16" t="s">
        <v>2056</v>
      </c>
      <c r="E119" s="14" t="s">
        <v>2058</v>
      </c>
      <c r="F119" s="62" t="s">
        <v>2059</v>
      </c>
      <c r="G119" s="14" t="s">
        <v>2060</v>
      </c>
      <c r="H119" s="65" t="s">
        <v>2023</v>
      </c>
      <c r="I119" s="14"/>
      <c r="J119" s="14" t="s">
        <v>8</v>
      </c>
      <c r="K119" s="90">
        <v>1.4800000000000001E-2</v>
      </c>
      <c r="L119" s="68">
        <f>M119/148</f>
        <v>1755.72</v>
      </c>
      <c r="M119" s="68">
        <v>259846.56</v>
      </c>
      <c r="N119" s="68" t="s">
        <v>2061</v>
      </c>
      <c r="O119" s="367"/>
      <c r="P119" s="336">
        <v>22346.82</v>
      </c>
      <c r="Q119" s="336">
        <v>22346.82</v>
      </c>
      <c r="R119" s="336">
        <v>8.6</v>
      </c>
      <c r="S119" s="65" t="s">
        <v>2585</v>
      </c>
      <c r="T119" s="94" t="s">
        <v>1819</v>
      </c>
      <c r="U119" s="62" t="s">
        <v>1634</v>
      </c>
    </row>
    <row r="120" spans="1:22" s="1367" customFormat="1" ht="56.25" x14ac:dyDescent="0.25">
      <c r="A120" s="8">
        <v>115</v>
      </c>
      <c r="B120" s="103" t="s">
        <v>2191</v>
      </c>
      <c r="C120" s="14">
        <v>19238968</v>
      </c>
      <c r="D120" s="16" t="s">
        <v>2193</v>
      </c>
      <c r="E120" s="14" t="s">
        <v>2195</v>
      </c>
      <c r="F120" s="62" t="s">
        <v>2032</v>
      </c>
      <c r="G120" s="14" t="s">
        <v>2196</v>
      </c>
      <c r="H120" s="65" t="s">
        <v>2115</v>
      </c>
      <c r="I120" s="14"/>
      <c r="J120" s="14" t="s">
        <v>8</v>
      </c>
      <c r="K120" s="90">
        <v>3.6009000000000002</v>
      </c>
      <c r="L120" s="68">
        <f>M120/36009</f>
        <v>287.14999999999998</v>
      </c>
      <c r="M120" s="68">
        <v>10339984.35</v>
      </c>
      <c r="N120" s="68" t="s">
        <v>2197</v>
      </c>
      <c r="O120" s="367"/>
      <c r="P120" s="336">
        <f>M120*R120%</f>
        <v>723798.90450000006</v>
      </c>
      <c r="Q120" s="336">
        <f>P120</f>
        <v>723798.90450000006</v>
      </c>
      <c r="R120" s="336">
        <v>7</v>
      </c>
      <c r="S120" s="65" t="s">
        <v>2586</v>
      </c>
      <c r="T120" s="94" t="s">
        <v>1716</v>
      </c>
      <c r="U120" s="62" t="s">
        <v>1637</v>
      </c>
    </row>
    <row r="121" spans="1:22" s="1367" customFormat="1" ht="131.25" x14ac:dyDescent="0.25">
      <c r="A121" s="8">
        <v>116</v>
      </c>
      <c r="B121" s="103" t="s">
        <v>3672</v>
      </c>
      <c r="C121" s="14">
        <v>35733011</v>
      </c>
      <c r="D121" s="16" t="s">
        <v>3673</v>
      </c>
      <c r="E121" s="14" t="s">
        <v>3674</v>
      </c>
      <c r="F121" s="62" t="s">
        <v>3675</v>
      </c>
      <c r="G121" s="14" t="s">
        <v>3676</v>
      </c>
      <c r="H121" s="65">
        <v>43986</v>
      </c>
      <c r="I121" s="14"/>
      <c r="J121" s="14" t="s">
        <v>8</v>
      </c>
      <c r="K121" s="90">
        <v>0.1447</v>
      </c>
      <c r="L121" s="68">
        <f>M121/1447</f>
        <v>452.61</v>
      </c>
      <c r="M121" s="68">
        <v>654926.67000000004</v>
      </c>
      <c r="N121" s="68" t="s">
        <v>3677</v>
      </c>
      <c r="O121" s="367"/>
      <c r="P121" s="336">
        <f>M121*R121%</f>
        <v>45844.866900000008</v>
      </c>
      <c r="Q121" s="336">
        <v>23630.81</v>
      </c>
      <c r="R121" s="336">
        <v>7</v>
      </c>
      <c r="S121" s="65">
        <v>44578</v>
      </c>
      <c r="T121" s="94" t="s">
        <v>3678</v>
      </c>
      <c r="U121" s="62" t="s">
        <v>3679</v>
      </c>
    </row>
    <row r="122" spans="1:22" s="1367" customFormat="1" ht="112.5" x14ac:dyDescent="0.25">
      <c r="A122" s="8">
        <v>117</v>
      </c>
      <c r="B122" s="103" t="s">
        <v>3672</v>
      </c>
      <c r="C122" s="14">
        <v>35733011</v>
      </c>
      <c r="D122" s="16" t="s">
        <v>3680</v>
      </c>
      <c r="E122" s="14" t="s">
        <v>3681</v>
      </c>
      <c r="F122" s="62" t="s">
        <v>3642</v>
      </c>
      <c r="G122" s="14" t="s">
        <v>3682</v>
      </c>
      <c r="H122" s="65" t="s">
        <v>3683</v>
      </c>
      <c r="I122" s="14"/>
      <c r="J122" s="14" t="s">
        <v>8</v>
      </c>
      <c r="K122" s="90">
        <v>1.0384</v>
      </c>
      <c r="L122" s="68">
        <f>M122/10384</f>
        <v>452.62</v>
      </c>
      <c r="M122" s="68">
        <v>4700006.08</v>
      </c>
      <c r="N122" s="68" t="s">
        <v>3684</v>
      </c>
      <c r="O122" s="367"/>
      <c r="P122" s="336">
        <f>M122*R122%</f>
        <v>329000.42560000002</v>
      </c>
      <c r="Q122" s="336">
        <v>188261.35</v>
      </c>
      <c r="R122" s="336">
        <v>7</v>
      </c>
      <c r="S122" s="65">
        <v>44886</v>
      </c>
      <c r="T122" s="94" t="s">
        <v>3685</v>
      </c>
      <c r="U122" s="62" t="s">
        <v>1641</v>
      </c>
    </row>
    <row r="123" spans="1:22" s="1367" customFormat="1" ht="56.25" x14ac:dyDescent="0.25">
      <c r="A123" s="8">
        <v>118</v>
      </c>
      <c r="B123" s="103" t="s">
        <v>2230</v>
      </c>
      <c r="C123" s="14">
        <v>36922673</v>
      </c>
      <c r="D123" s="16" t="s">
        <v>2232</v>
      </c>
      <c r="E123" s="14" t="s">
        <v>2235</v>
      </c>
      <c r="F123" s="62" t="s">
        <v>2236</v>
      </c>
      <c r="G123" s="14" t="s">
        <v>2237</v>
      </c>
      <c r="H123" s="65">
        <v>43546</v>
      </c>
      <c r="I123" s="14"/>
      <c r="J123" s="14" t="s">
        <v>8</v>
      </c>
      <c r="K123" s="90">
        <v>1.5699999999999999E-2</v>
      </c>
      <c r="L123" s="68">
        <v>587.29</v>
      </c>
      <c r="M123" s="68">
        <f>L123*157</f>
        <v>92204.53</v>
      </c>
      <c r="N123" s="68" t="s">
        <v>2238</v>
      </c>
      <c r="O123" s="367"/>
      <c r="P123" s="336">
        <v>2766.14</v>
      </c>
      <c r="Q123" s="336">
        <v>2766.14</v>
      </c>
      <c r="R123" s="336">
        <v>3</v>
      </c>
      <c r="S123" s="65" t="s">
        <v>2586</v>
      </c>
      <c r="T123" s="94" t="s">
        <v>2239</v>
      </c>
      <c r="U123" s="62" t="s">
        <v>1662</v>
      </c>
    </row>
    <row r="124" spans="1:22" s="1367" customFormat="1" ht="56.25" x14ac:dyDescent="0.25">
      <c r="A124" s="8">
        <v>119</v>
      </c>
      <c r="B124" s="103" t="s">
        <v>2300</v>
      </c>
      <c r="C124" s="14">
        <v>31740093</v>
      </c>
      <c r="D124" s="16" t="s">
        <v>2302</v>
      </c>
      <c r="E124" s="14" t="s">
        <v>2305</v>
      </c>
      <c r="F124" s="62" t="s">
        <v>2306</v>
      </c>
      <c r="G124" s="14" t="s">
        <v>2307</v>
      </c>
      <c r="H124" s="65">
        <v>43566</v>
      </c>
      <c r="I124" s="14"/>
      <c r="J124" s="14" t="s">
        <v>8</v>
      </c>
      <c r="K124" s="90">
        <v>1.35E-2</v>
      </c>
      <c r="L124" s="68">
        <f>M124/135</f>
        <v>931.18999999999994</v>
      </c>
      <c r="M124" s="68">
        <v>125710.65</v>
      </c>
      <c r="N124" s="68" t="s">
        <v>2308</v>
      </c>
      <c r="O124" s="367">
        <v>14645.49</v>
      </c>
      <c r="P124" s="336">
        <v>14645.49</v>
      </c>
      <c r="Q124" s="336">
        <f t="shared" ref="Q124:Q157" si="4">P124</f>
        <v>14645.49</v>
      </c>
      <c r="R124" s="336">
        <v>11.65</v>
      </c>
      <c r="S124" s="65" t="s">
        <v>2503</v>
      </c>
      <c r="T124" s="94" t="s">
        <v>1727</v>
      </c>
      <c r="U124" s="62" t="s">
        <v>1634</v>
      </c>
    </row>
    <row r="125" spans="1:22" s="1367" customFormat="1" ht="56.25" x14ac:dyDescent="0.25">
      <c r="A125" s="8">
        <v>120</v>
      </c>
      <c r="B125" s="103" t="s">
        <v>2300</v>
      </c>
      <c r="C125" s="14">
        <v>31740093</v>
      </c>
      <c r="D125" s="16" t="s">
        <v>2309</v>
      </c>
      <c r="E125" s="14" t="s">
        <v>2312</v>
      </c>
      <c r="F125" s="62" t="s">
        <v>2306</v>
      </c>
      <c r="G125" s="14" t="s">
        <v>2313</v>
      </c>
      <c r="H125" s="65">
        <v>43566</v>
      </c>
      <c r="I125" s="14"/>
      <c r="J125" s="14" t="s">
        <v>8</v>
      </c>
      <c r="K125" s="90">
        <v>9.7000000000000003E-3</v>
      </c>
      <c r="L125" s="68">
        <f>M125/97</f>
        <v>1404.5800000000002</v>
      </c>
      <c r="M125" s="68">
        <v>136244.26</v>
      </c>
      <c r="N125" s="68" t="s">
        <v>2314</v>
      </c>
      <c r="O125" s="367">
        <v>14237.51</v>
      </c>
      <c r="P125" s="336">
        <v>14237.51</v>
      </c>
      <c r="Q125" s="336">
        <f t="shared" si="4"/>
        <v>14237.51</v>
      </c>
      <c r="R125" s="336">
        <v>10.45</v>
      </c>
      <c r="S125" s="65" t="s">
        <v>2503</v>
      </c>
      <c r="T125" s="94" t="s">
        <v>1727</v>
      </c>
      <c r="U125" s="62" t="s">
        <v>1634</v>
      </c>
      <c r="V125" s="1355"/>
    </row>
    <row r="126" spans="1:22" s="1367" customFormat="1" ht="56.25" x14ac:dyDescent="0.25">
      <c r="A126" s="8">
        <v>121</v>
      </c>
      <c r="B126" s="103" t="s">
        <v>2437</v>
      </c>
      <c r="C126" s="14">
        <v>36227209</v>
      </c>
      <c r="D126" s="16" t="s">
        <v>2439</v>
      </c>
      <c r="E126" s="14" t="s">
        <v>2442</v>
      </c>
      <c r="F126" s="62" t="s">
        <v>2443</v>
      </c>
      <c r="G126" s="14" t="s">
        <v>2444</v>
      </c>
      <c r="H126" s="65">
        <v>43627</v>
      </c>
      <c r="I126" s="14"/>
      <c r="J126" s="14" t="s">
        <v>8</v>
      </c>
      <c r="K126" s="90">
        <v>0.04</v>
      </c>
      <c r="L126" s="68">
        <f>M126/400</f>
        <v>534.66</v>
      </c>
      <c r="M126" s="68">
        <v>213864</v>
      </c>
      <c r="N126" s="68" t="s">
        <v>2445</v>
      </c>
      <c r="O126" s="367">
        <v>7057.52</v>
      </c>
      <c r="P126" s="336">
        <v>7057.52</v>
      </c>
      <c r="Q126" s="336">
        <f t="shared" si="4"/>
        <v>7057.52</v>
      </c>
      <c r="R126" s="336">
        <v>3.3</v>
      </c>
      <c r="S126" s="308">
        <v>45443</v>
      </c>
      <c r="T126" s="94" t="s">
        <v>2447</v>
      </c>
      <c r="U126" s="62" t="s">
        <v>2448</v>
      </c>
      <c r="V126" s="1355"/>
    </row>
    <row r="127" spans="1:22" s="1367" customFormat="1" ht="225" x14ac:dyDescent="0.25">
      <c r="A127" s="8">
        <v>122</v>
      </c>
      <c r="B127" s="103" t="s">
        <v>2479</v>
      </c>
      <c r="C127" s="14">
        <v>38872186</v>
      </c>
      <c r="D127" s="16" t="s">
        <v>2481</v>
      </c>
      <c r="E127" s="14" t="s">
        <v>2484</v>
      </c>
      <c r="F127" s="62" t="s">
        <v>2485</v>
      </c>
      <c r="G127" s="14" t="s">
        <v>2486</v>
      </c>
      <c r="H127" s="65" t="s">
        <v>2487</v>
      </c>
      <c r="I127" s="14"/>
      <c r="J127" s="14" t="s">
        <v>8</v>
      </c>
      <c r="K127" s="90">
        <v>0.24709999999999999</v>
      </c>
      <c r="L127" s="68">
        <f>M127/2471</f>
        <v>123.72</v>
      </c>
      <c r="M127" s="68">
        <v>305712.12</v>
      </c>
      <c r="N127" s="68" t="s">
        <v>2488</v>
      </c>
      <c r="O127" s="367"/>
      <c r="P127" s="336">
        <f>M127*R127%</f>
        <v>9171.3635999999988</v>
      </c>
      <c r="Q127" s="336">
        <f t="shared" si="4"/>
        <v>9171.3635999999988</v>
      </c>
      <c r="R127" s="336">
        <v>3</v>
      </c>
      <c r="S127" s="308">
        <v>45470</v>
      </c>
      <c r="T127" s="94" t="s">
        <v>2489</v>
      </c>
      <c r="U127" s="62" t="s">
        <v>2490</v>
      </c>
      <c r="V127" s="1355"/>
    </row>
    <row r="128" spans="1:22" s="1367" customFormat="1" ht="225" x14ac:dyDescent="0.25">
      <c r="A128" s="8">
        <v>123</v>
      </c>
      <c r="B128" s="103" t="s">
        <v>2479</v>
      </c>
      <c r="C128" s="14">
        <v>38872186</v>
      </c>
      <c r="D128" s="16" t="s">
        <v>2491</v>
      </c>
      <c r="E128" s="14" t="s">
        <v>2492</v>
      </c>
      <c r="F128" s="62" t="s">
        <v>2485</v>
      </c>
      <c r="G128" s="14" t="s">
        <v>2493</v>
      </c>
      <c r="H128" s="65">
        <v>43654</v>
      </c>
      <c r="I128" s="14"/>
      <c r="J128" s="14" t="s">
        <v>8</v>
      </c>
      <c r="K128" s="90">
        <v>3.8999999999999998E-3</v>
      </c>
      <c r="L128" s="68">
        <f>M128/39</f>
        <v>115.29</v>
      </c>
      <c r="M128" s="68">
        <v>4496.3100000000004</v>
      </c>
      <c r="N128" s="68" t="s">
        <v>2494</v>
      </c>
      <c r="O128" s="367"/>
      <c r="P128" s="336">
        <f>M128*R128%</f>
        <v>134.88930000000002</v>
      </c>
      <c r="Q128" s="336">
        <f t="shared" si="4"/>
        <v>134.88930000000002</v>
      </c>
      <c r="R128" s="336">
        <v>3</v>
      </c>
      <c r="S128" s="308">
        <v>45470</v>
      </c>
      <c r="T128" s="94" t="s">
        <v>2489</v>
      </c>
      <c r="U128" s="62" t="s">
        <v>2490</v>
      </c>
      <c r="V128" s="1355" t="s">
        <v>2022</v>
      </c>
    </row>
    <row r="129" spans="1:23" s="1367" customFormat="1" ht="75" x14ac:dyDescent="0.25">
      <c r="A129" s="8">
        <v>124</v>
      </c>
      <c r="B129" s="103" t="s">
        <v>3561</v>
      </c>
      <c r="C129" s="14">
        <v>43145776</v>
      </c>
      <c r="D129" s="16" t="s">
        <v>2532</v>
      </c>
      <c r="E129" s="65" t="s">
        <v>3566</v>
      </c>
      <c r="F129" s="62" t="s">
        <v>3564</v>
      </c>
      <c r="G129" s="14" t="s">
        <v>3567</v>
      </c>
      <c r="H129" s="65">
        <v>43922</v>
      </c>
      <c r="I129" s="14"/>
      <c r="J129" s="14" t="s">
        <v>8</v>
      </c>
      <c r="K129" s="90">
        <v>10.6175</v>
      </c>
      <c r="L129" s="68">
        <f>M129/106175</f>
        <v>179.99</v>
      </c>
      <c r="M129" s="68">
        <v>19110438.25</v>
      </c>
      <c r="N129" s="68" t="s">
        <v>2538</v>
      </c>
      <c r="O129" s="367"/>
      <c r="P129" s="336">
        <f>M129*R129%</f>
        <v>1528835.06</v>
      </c>
      <c r="Q129" s="336">
        <f t="shared" si="4"/>
        <v>1528835.06</v>
      </c>
      <c r="R129" s="336">
        <v>8</v>
      </c>
      <c r="S129" s="308" t="s">
        <v>3565</v>
      </c>
      <c r="T129" s="94" t="s">
        <v>2539</v>
      </c>
      <c r="U129" s="62" t="s">
        <v>1639</v>
      </c>
      <c r="V129" s="1355"/>
    </row>
    <row r="130" spans="1:23" s="1367" customFormat="1" ht="75" x14ac:dyDescent="0.25">
      <c r="A130" s="8">
        <v>125</v>
      </c>
      <c r="B130" s="103" t="s">
        <v>3149</v>
      </c>
      <c r="C130" s="14">
        <v>39968214</v>
      </c>
      <c r="D130" s="16" t="s">
        <v>3152</v>
      </c>
      <c r="E130" s="14" t="s">
        <v>3155</v>
      </c>
      <c r="F130" s="62" t="s">
        <v>3156</v>
      </c>
      <c r="G130" s="14" t="s">
        <v>3154</v>
      </c>
      <c r="H130" s="65" t="s">
        <v>3157</v>
      </c>
      <c r="I130" s="14"/>
      <c r="J130" s="14" t="s">
        <v>8</v>
      </c>
      <c r="K130" s="90">
        <v>1.7899999999999999E-2</v>
      </c>
      <c r="L130" s="68">
        <f>M130/179</f>
        <v>148.16</v>
      </c>
      <c r="M130" s="68">
        <v>26520.639999999999</v>
      </c>
      <c r="N130" s="68" t="s">
        <v>3158</v>
      </c>
      <c r="O130" s="367"/>
      <c r="P130" s="336">
        <v>795.62</v>
      </c>
      <c r="Q130" s="336">
        <f t="shared" si="4"/>
        <v>795.62</v>
      </c>
      <c r="R130" s="336">
        <v>3</v>
      </c>
      <c r="S130" s="308">
        <v>45575</v>
      </c>
      <c r="T130" s="94" t="s">
        <v>3160</v>
      </c>
      <c r="U130" s="62" t="s">
        <v>3159</v>
      </c>
      <c r="V130" s="1355"/>
      <c r="W130" s="384"/>
    </row>
    <row r="131" spans="1:23" s="1367" customFormat="1" ht="56.25" x14ac:dyDescent="0.25">
      <c r="A131" s="8">
        <v>126</v>
      </c>
      <c r="B131" s="103" t="s">
        <v>3579</v>
      </c>
      <c r="C131" s="14">
        <v>41132601</v>
      </c>
      <c r="D131" s="16" t="s">
        <v>3580</v>
      </c>
      <c r="E131" s="14" t="s">
        <v>3581</v>
      </c>
      <c r="F131" s="62" t="s">
        <v>3582</v>
      </c>
      <c r="G131" s="14" t="s">
        <v>3583</v>
      </c>
      <c r="H131" s="65" t="s">
        <v>3584</v>
      </c>
      <c r="I131" s="14"/>
      <c r="J131" s="14" t="s">
        <v>8</v>
      </c>
      <c r="K131" s="90">
        <v>2.3570000000000002</v>
      </c>
      <c r="L131" s="68">
        <f>M131/23570</f>
        <v>140.46</v>
      </c>
      <c r="M131" s="68">
        <v>3310642.2</v>
      </c>
      <c r="N131" s="68" t="s">
        <v>3585</v>
      </c>
      <c r="O131" s="367"/>
      <c r="P131" s="336">
        <f>M131*R131%</f>
        <v>33106.422000000006</v>
      </c>
      <c r="Q131" s="336">
        <v>20202.95</v>
      </c>
      <c r="R131" s="336">
        <v>1</v>
      </c>
      <c r="S131" s="308">
        <v>53089</v>
      </c>
      <c r="T131" s="94" t="s">
        <v>3586</v>
      </c>
      <c r="U131" s="62" t="s">
        <v>3587</v>
      </c>
      <c r="V131" s="1355"/>
      <c r="W131" s="384"/>
    </row>
    <row r="132" spans="1:23" s="1367" customFormat="1" ht="75" x14ac:dyDescent="0.25">
      <c r="A132" s="8">
        <v>127</v>
      </c>
      <c r="B132" s="103" t="s">
        <v>3687</v>
      </c>
      <c r="C132" s="14">
        <v>43358176</v>
      </c>
      <c r="D132" s="16" t="s">
        <v>3688</v>
      </c>
      <c r="E132" s="14" t="s">
        <v>3689</v>
      </c>
      <c r="F132" s="62" t="s">
        <v>3690</v>
      </c>
      <c r="G132" s="14" t="s">
        <v>3691</v>
      </c>
      <c r="H132" s="65">
        <v>44000</v>
      </c>
      <c r="I132" s="14"/>
      <c r="J132" s="14" t="s">
        <v>8</v>
      </c>
      <c r="K132" s="90">
        <v>1.8905000000000001</v>
      </c>
      <c r="L132" s="68">
        <f>M132/18905</f>
        <v>192.7</v>
      </c>
      <c r="M132" s="68">
        <v>3642993.5</v>
      </c>
      <c r="N132" s="68" t="s">
        <v>3692</v>
      </c>
      <c r="O132" s="367"/>
      <c r="P132" s="336">
        <f>M132*R132%</f>
        <v>5464.4902499999998</v>
      </c>
      <c r="Q132" s="336">
        <v>2929.55</v>
      </c>
      <c r="R132" s="336">
        <v>0.15</v>
      </c>
      <c r="S132" s="308">
        <v>45011</v>
      </c>
      <c r="T132" s="94" t="s">
        <v>3693</v>
      </c>
      <c r="U132" s="62" t="s">
        <v>3694</v>
      </c>
      <c r="V132" s="1355"/>
      <c r="W132" s="384"/>
    </row>
    <row r="133" spans="1:23" s="1367" customFormat="1" ht="56.25" x14ac:dyDescent="0.25">
      <c r="A133" s="8">
        <v>128</v>
      </c>
      <c r="B133" s="103" t="s">
        <v>3749</v>
      </c>
      <c r="C133" s="14">
        <v>39577986</v>
      </c>
      <c r="D133" s="16" t="s">
        <v>3750</v>
      </c>
      <c r="E133" s="14" t="s">
        <v>3751</v>
      </c>
      <c r="F133" s="62" t="s">
        <v>3752</v>
      </c>
      <c r="G133" s="14" t="s">
        <v>3753</v>
      </c>
      <c r="H133" s="65">
        <v>44028</v>
      </c>
      <c r="I133" s="14"/>
      <c r="J133" s="14" t="s">
        <v>8</v>
      </c>
      <c r="K133" s="90">
        <v>0.221</v>
      </c>
      <c r="L133" s="68">
        <f>M133/2210</f>
        <v>440.82</v>
      </c>
      <c r="M133" s="68">
        <v>974212.2</v>
      </c>
      <c r="N133" s="68" t="s">
        <v>3754</v>
      </c>
      <c r="O133" s="367"/>
      <c r="P133" s="336">
        <f>31564.45</f>
        <v>31564.45</v>
      </c>
      <c r="Q133" s="336">
        <v>14509.46</v>
      </c>
      <c r="R133" s="336">
        <v>3.24</v>
      </c>
      <c r="S133" s="308">
        <v>45846</v>
      </c>
      <c r="T133" s="94" t="s">
        <v>3287</v>
      </c>
      <c r="U133" s="62" t="s">
        <v>1713</v>
      </c>
      <c r="V133" s="1355"/>
      <c r="W133" s="384"/>
    </row>
    <row r="134" spans="1:23" s="1367" customFormat="1" ht="56.25" x14ac:dyDescent="0.25">
      <c r="A134" s="8">
        <v>129</v>
      </c>
      <c r="B134" s="103" t="s">
        <v>3819</v>
      </c>
      <c r="C134" s="14">
        <v>30955280</v>
      </c>
      <c r="D134" s="16" t="s">
        <v>3820</v>
      </c>
      <c r="E134" s="14" t="s">
        <v>3821</v>
      </c>
      <c r="F134" s="62" t="s">
        <v>3822</v>
      </c>
      <c r="G134" s="14" t="s">
        <v>3823</v>
      </c>
      <c r="H134" s="65">
        <v>44081</v>
      </c>
      <c r="I134" s="14"/>
      <c r="J134" s="14" t="s">
        <v>8</v>
      </c>
      <c r="K134" s="90">
        <v>0.24490000000000001</v>
      </c>
      <c r="L134" s="68">
        <f>M134/2449</f>
        <v>1731.78</v>
      </c>
      <c r="M134" s="68">
        <v>4241129.22</v>
      </c>
      <c r="N134" s="68" t="s">
        <v>3824</v>
      </c>
      <c r="O134" s="367"/>
      <c r="P134" s="336">
        <v>424112.92</v>
      </c>
      <c r="Q134" s="336">
        <v>134302.41</v>
      </c>
      <c r="R134" s="336">
        <v>10</v>
      </c>
      <c r="S134" s="308">
        <v>45124</v>
      </c>
      <c r="T134" s="94" t="s">
        <v>3825</v>
      </c>
      <c r="U134" s="62" t="s">
        <v>2952</v>
      </c>
      <c r="V134" s="1355"/>
      <c r="W134" s="384"/>
    </row>
    <row r="135" spans="1:23" s="1458" customFormat="1" ht="127.5" customHeight="1" x14ac:dyDescent="0.3">
      <c r="A135" s="8">
        <v>130</v>
      </c>
      <c r="B135" s="1419" t="s">
        <v>3837</v>
      </c>
      <c r="C135" s="14">
        <v>33658865</v>
      </c>
      <c r="D135" s="16" t="s">
        <v>3838</v>
      </c>
      <c r="E135" s="14" t="s">
        <v>3839</v>
      </c>
      <c r="F135" s="62" t="s">
        <v>3840</v>
      </c>
      <c r="G135" s="14" t="s">
        <v>3841</v>
      </c>
      <c r="H135" s="65">
        <v>44099</v>
      </c>
      <c r="I135" s="14"/>
      <c r="J135" s="14" t="s">
        <v>8</v>
      </c>
      <c r="K135" s="90">
        <v>2.6896</v>
      </c>
      <c r="L135" s="68">
        <f>M135/26896</f>
        <v>136.02000000000001</v>
      </c>
      <c r="M135" s="68">
        <v>3658393.92</v>
      </c>
      <c r="N135" s="68" t="s">
        <v>3842</v>
      </c>
      <c r="O135" s="367">
        <v>40059.230000000003</v>
      </c>
      <c r="P135" s="1416">
        <v>40059.230000000003</v>
      </c>
      <c r="Q135" s="1416">
        <v>40059.230000000003</v>
      </c>
      <c r="R135" s="1416">
        <v>1.095</v>
      </c>
      <c r="S135" s="1433">
        <v>45916</v>
      </c>
      <c r="T135" s="94" t="s">
        <v>3843</v>
      </c>
      <c r="U135" s="62" t="s">
        <v>1632</v>
      </c>
      <c r="V135" s="1434"/>
      <c r="W135" s="1435"/>
    </row>
    <row r="136" spans="1:23" s="1367" customFormat="1" ht="75" x14ac:dyDescent="0.25">
      <c r="A136" s="8">
        <v>131</v>
      </c>
      <c r="B136" s="103" t="s">
        <v>2791</v>
      </c>
      <c r="C136" s="8">
        <v>2254702368</v>
      </c>
      <c r="D136" s="16" t="s">
        <v>452</v>
      </c>
      <c r="E136" s="62" t="s">
        <v>454</v>
      </c>
      <c r="F136" s="62" t="s">
        <v>3449</v>
      </c>
      <c r="G136" s="62" t="s">
        <v>3281</v>
      </c>
      <c r="H136" s="65" t="s">
        <v>455</v>
      </c>
      <c r="I136" s="62" t="s">
        <v>3477</v>
      </c>
      <c r="J136" s="14" t="s">
        <v>8</v>
      </c>
      <c r="K136" s="90">
        <v>3.2000000000000002E-3</v>
      </c>
      <c r="L136" s="68">
        <f>M136/32</f>
        <v>931.19</v>
      </c>
      <c r="M136" s="68">
        <v>29798.080000000002</v>
      </c>
      <c r="N136" s="68" t="s">
        <v>3282</v>
      </c>
      <c r="O136" s="367"/>
      <c r="P136" s="336">
        <f>M136*R136%</f>
        <v>2979.8080000000004</v>
      </c>
      <c r="Q136" s="336">
        <f t="shared" si="4"/>
        <v>2979.8080000000004</v>
      </c>
      <c r="R136" s="336">
        <v>10</v>
      </c>
      <c r="S136" s="308">
        <v>44886</v>
      </c>
      <c r="T136" s="65" t="s">
        <v>1727</v>
      </c>
      <c r="U136" s="62" t="s">
        <v>1634</v>
      </c>
      <c r="V136" s="1355"/>
    </row>
    <row r="137" spans="1:23" s="1367" customFormat="1" ht="56.25" x14ac:dyDescent="0.25">
      <c r="A137" s="8">
        <v>132</v>
      </c>
      <c r="B137" s="103" t="s">
        <v>3071</v>
      </c>
      <c r="C137" s="8">
        <v>3121316395</v>
      </c>
      <c r="D137" s="16" t="s">
        <v>3073</v>
      </c>
      <c r="E137" s="81" t="s">
        <v>3075</v>
      </c>
      <c r="F137" s="81" t="s">
        <v>3076</v>
      </c>
      <c r="G137" s="81" t="s">
        <v>3077</v>
      </c>
      <c r="H137" s="93">
        <v>43760</v>
      </c>
      <c r="I137" s="81"/>
      <c r="J137" s="14" t="s">
        <v>8</v>
      </c>
      <c r="K137" s="90">
        <v>3.0000000000000001E-3</v>
      </c>
      <c r="L137" s="68">
        <f>M137/30</f>
        <v>684.84</v>
      </c>
      <c r="M137" s="68">
        <v>20545.2</v>
      </c>
      <c r="N137" s="68" t="s">
        <v>3078</v>
      </c>
      <c r="O137" s="367">
        <v>3009.63</v>
      </c>
      <c r="P137" s="336">
        <v>3009.63</v>
      </c>
      <c r="Q137" s="336">
        <f t="shared" si="4"/>
        <v>3009.63</v>
      </c>
      <c r="R137" s="336">
        <f>P137*100/M137</f>
        <v>14.648823082763856</v>
      </c>
      <c r="S137" s="308">
        <v>45566</v>
      </c>
      <c r="T137" s="65" t="s">
        <v>2352</v>
      </c>
      <c r="U137" s="62" t="s">
        <v>3079</v>
      </c>
      <c r="V137" s="1355"/>
      <c r="W137" s="384"/>
    </row>
    <row r="138" spans="1:23" s="1367" customFormat="1" ht="225" x14ac:dyDescent="0.25">
      <c r="A138" s="8">
        <v>133</v>
      </c>
      <c r="B138" s="103" t="s">
        <v>2240</v>
      </c>
      <c r="C138" s="14">
        <v>1902924323</v>
      </c>
      <c r="D138" s="16" t="s">
        <v>3365</v>
      </c>
      <c r="E138" s="63" t="s">
        <v>2243</v>
      </c>
      <c r="F138" s="81" t="s">
        <v>2244</v>
      </c>
      <c r="G138" s="63" t="s">
        <v>2245</v>
      </c>
      <c r="H138" s="93" t="s">
        <v>457</v>
      </c>
      <c r="I138" s="63" t="s">
        <v>2246</v>
      </c>
      <c r="J138" s="14" t="s">
        <v>8</v>
      </c>
      <c r="K138" s="90">
        <v>2.12E-2</v>
      </c>
      <c r="L138" s="68">
        <f>M138/212</f>
        <v>1889.22</v>
      </c>
      <c r="M138" s="68">
        <v>400514.64</v>
      </c>
      <c r="N138" s="8" t="s">
        <v>3390</v>
      </c>
      <c r="O138" s="367"/>
      <c r="P138" s="336">
        <f>M138*R138%</f>
        <v>44056.610400000005</v>
      </c>
      <c r="Q138" s="336">
        <f t="shared" si="4"/>
        <v>44056.610400000005</v>
      </c>
      <c r="R138" s="336">
        <v>11</v>
      </c>
      <c r="S138" s="308">
        <v>45551</v>
      </c>
      <c r="T138" s="65" t="s">
        <v>1728</v>
      </c>
      <c r="U138" s="62"/>
      <c r="V138" s="1355"/>
    </row>
    <row r="139" spans="1:23" s="1367" customFormat="1" ht="56.25" x14ac:dyDescent="0.25">
      <c r="A139" s="8">
        <v>134</v>
      </c>
      <c r="B139" s="305" t="s">
        <v>3826</v>
      </c>
      <c r="C139" s="14">
        <v>2951900481</v>
      </c>
      <c r="D139" s="16" t="s">
        <v>458</v>
      </c>
      <c r="E139" s="14" t="s">
        <v>2815</v>
      </c>
      <c r="F139" s="62" t="s">
        <v>1129</v>
      </c>
      <c r="G139" s="14" t="s">
        <v>2814</v>
      </c>
      <c r="H139" s="65" t="s">
        <v>460</v>
      </c>
      <c r="I139" s="14"/>
      <c r="J139" s="14" t="s">
        <v>8</v>
      </c>
      <c r="K139" s="87">
        <v>5.9999999999999995E-4</v>
      </c>
      <c r="L139" s="88">
        <f>M139/6</f>
        <v>1907.01</v>
      </c>
      <c r="M139" s="68">
        <v>11442.06</v>
      </c>
      <c r="N139" s="68" t="s">
        <v>3391</v>
      </c>
      <c r="O139" s="367"/>
      <c r="P139" s="336">
        <f>M139*R139%</f>
        <v>1258.6266000000001</v>
      </c>
      <c r="Q139" s="336">
        <f t="shared" si="4"/>
        <v>1258.6266000000001</v>
      </c>
      <c r="R139" s="336">
        <v>11</v>
      </c>
      <c r="S139" s="308">
        <v>42622</v>
      </c>
      <c r="T139" s="93" t="s">
        <v>1729</v>
      </c>
      <c r="U139" s="62" t="s">
        <v>1634</v>
      </c>
      <c r="V139" s="1355"/>
      <c r="W139" s="384"/>
    </row>
    <row r="140" spans="1:23" s="1367" customFormat="1" ht="56.25" x14ac:dyDescent="0.25">
      <c r="A140" s="8">
        <v>135</v>
      </c>
      <c r="B140" s="97" t="s">
        <v>461</v>
      </c>
      <c r="C140" s="14">
        <v>2514015696</v>
      </c>
      <c r="D140" s="16" t="s">
        <v>464</v>
      </c>
      <c r="E140" s="65" t="s">
        <v>2404</v>
      </c>
      <c r="F140" s="62" t="s">
        <v>2403</v>
      </c>
      <c r="G140" s="65" t="s">
        <v>2406</v>
      </c>
      <c r="H140" s="65" t="s">
        <v>466</v>
      </c>
      <c r="I140" s="65" t="s">
        <v>3162</v>
      </c>
      <c r="J140" s="14" t="s">
        <v>8</v>
      </c>
      <c r="K140" s="90">
        <v>3.5999999999999999E-3</v>
      </c>
      <c r="L140" s="68">
        <f>M140/36</f>
        <v>1030.8599999999999</v>
      </c>
      <c r="M140" s="68">
        <v>37110.959999999999</v>
      </c>
      <c r="N140" s="68" t="s">
        <v>3161</v>
      </c>
      <c r="O140" s="367"/>
      <c r="P140" s="336">
        <f>M140*R140%</f>
        <v>4453.3152</v>
      </c>
      <c r="Q140" s="336">
        <f t="shared" si="4"/>
        <v>4453.3152</v>
      </c>
      <c r="R140" s="336">
        <v>12</v>
      </c>
      <c r="S140" s="308">
        <v>41123</v>
      </c>
      <c r="T140" s="1160" t="s">
        <v>1731</v>
      </c>
      <c r="U140" s="62" t="s">
        <v>1850</v>
      </c>
    </row>
    <row r="141" spans="1:23" s="1367" customFormat="1" ht="56.25" x14ac:dyDescent="0.25">
      <c r="A141" s="8">
        <v>136</v>
      </c>
      <c r="B141" s="103" t="s">
        <v>468</v>
      </c>
      <c r="C141" s="14">
        <v>3024607900</v>
      </c>
      <c r="D141" s="16" t="s">
        <v>470</v>
      </c>
      <c r="E141" s="92" t="s">
        <v>473</v>
      </c>
      <c r="F141" s="86" t="s">
        <v>1475</v>
      </c>
      <c r="G141" s="92" t="s">
        <v>474</v>
      </c>
      <c r="H141" s="92" t="s">
        <v>1476</v>
      </c>
      <c r="I141" s="92" t="s">
        <v>475</v>
      </c>
      <c r="J141" s="14" t="s">
        <v>8</v>
      </c>
      <c r="K141" s="87">
        <v>0.13719999999999999</v>
      </c>
      <c r="L141" s="88">
        <v>810.71</v>
      </c>
      <c r="M141" s="68">
        <v>1112294.1200000001</v>
      </c>
      <c r="N141" s="68" t="s">
        <v>476</v>
      </c>
      <c r="O141" s="367"/>
      <c r="P141" s="336">
        <f>M141*R141%</f>
        <v>11679.088260000002</v>
      </c>
      <c r="Q141" s="336">
        <f t="shared" si="4"/>
        <v>11679.088260000002</v>
      </c>
      <c r="R141" s="336">
        <v>1.05</v>
      </c>
      <c r="S141" s="308" t="s">
        <v>2551</v>
      </c>
      <c r="T141" s="93" t="s">
        <v>1732</v>
      </c>
      <c r="U141" s="62" t="s">
        <v>1634</v>
      </c>
    </row>
    <row r="142" spans="1:23" s="1367" customFormat="1" ht="56.25" x14ac:dyDescent="0.25">
      <c r="A142" s="8">
        <v>137</v>
      </c>
      <c r="B142" s="97" t="s">
        <v>2787</v>
      </c>
      <c r="C142" s="14">
        <v>2254501975</v>
      </c>
      <c r="D142" s="8" t="s">
        <v>486</v>
      </c>
      <c r="E142" s="65" t="s">
        <v>3147</v>
      </c>
      <c r="F142" s="62" t="s">
        <v>1453</v>
      </c>
      <c r="G142" s="65" t="s">
        <v>2816</v>
      </c>
      <c r="H142" s="65" t="s">
        <v>487</v>
      </c>
      <c r="I142" s="65" t="s">
        <v>3148</v>
      </c>
      <c r="J142" s="14" t="s">
        <v>8</v>
      </c>
      <c r="K142" s="90">
        <v>1.5387999999999999</v>
      </c>
      <c r="L142" s="68">
        <f>M142/15388</f>
        <v>220.13</v>
      </c>
      <c r="M142" s="68">
        <v>3387360.44</v>
      </c>
      <c r="N142" s="8" t="s">
        <v>2844</v>
      </c>
      <c r="O142" s="367"/>
      <c r="P142" s="336">
        <f>M142*R142%</f>
        <v>33873.604399999997</v>
      </c>
      <c r="Q142" s="336">
        <f t="shared" si="4"/>
        <v>33873.604399999997</v>
      </c>
      <c r="R142" s="336">
        <v>1</v>
      </c>
      <c r="S142" s="308">
        <v>45575</v>
      </c>
      <c r="T142" s="65" t="s">
        <v>1733</v>
      </c>
      <c r="U142" s="62" t="s">
        <v>1797</v>
      </c>
    </row>
    <row r="143" spans="1:23" s="1367" customFormat="1" ht="75" x14ac:dyDescent="0.25">
      <c r="A143" s="8">
        <v>138</v>
      </c>
      <c r="B143" s="97" t="s">
        <v>2366</v>
      </c>
      <c r="C143" s="14">
        <v>2151212173</v>
      </c>
      <c r="D143" s="8" t="s">
        <v>488</v>
      </c>
      <c r="E143" s="62" t="s">
        <v>2364</v>
      </c>
      <c r="F143" s="62" t="s">
        <v>3337</v>
      </c>
      <c r="G143" s="62" t="s">
        <v>2365</v>
      </c>
      <c r="H143" s="65" t="s">
        <v>489</v>
      </c>
      <c r="I143" s="62" t="s">
        <v>2450</v>
      </c>
      <c r="J143" s="14" t="s">
        <v>8</v>
      </c>
      <c r="K143" s="90">
        <v>5.7000000000000002E-3</v>
      </c>
      <c r="L143" s="68">
        <f>M143/57</f>
        <v>1318.7399999999998</v>
      </c>
      <c r="M143" s="68">
        <v>75168.179999999993</v>
      </c>
      <c r="N143" s="68" t="s">
        <v>2363</v>
      </c>
      <c r="O143" s="367"/>
      <c r="P143" s="336">
        <f>M143*R143%</f>
        <v>7892.6588999999985</v>
      </c>
      <c r="Q143" s="336">
        <f t="shared" si="4"/>
        <v>7892.6588999999985</v>
      </c>
      <c r="R143" s="336">
        <v>10.5</v>
      </c>
      <c r="S143" s="308">
        <v>44332</v>
      </c>
      <c r="T143" s="14" t="s">
        <v>1734</v>
      </c>
      <c r="U143" s="62" t="s">
        <v>1634</v>
      </c>
    </row>
    <row r="144" spans="1:23" s="1367" customFormat="1" ht="75" x14ac:dyDescent="0.25">
      <c r="A144" s="8">
        <v>139</v>
      </c>
      <c r="B144" s="97" t="s">
        <v>490</v>
      </c>
      <c r="C144" s="8">
        <v>2528509443</v>
      </c>
      <c r="D144" s="8" t="s">
        <v>492</v>
      </c>
      <c r="E144" s="14" t="s">
        <v>495</v>
      </c>
      <c r="F144" s="62" t="s">
        <v>1477</v>
      </c>
      <c r="G144" s="14" t="s">
        <v>496</v>
      </c>
      <c r="H144" s="65" t="s">
        <v>497</v>
      </c>
      <c r="I144" s="14" t="s">
        <v>2507</v>
      </c>
      <c r="J144" s="14" t="s">
        <v>8</v>
      </c>
      <c r="K144" s="90">
        <v>2.3999999999999998E-3</v>
      </c>
      <c r="L144" s="68">
        <f>M144/24</f>
        <v>2043.2083333333333</v>
      </c>
      <c r="M144" s="68">
        <v>49037</v>
      </c>
      <c r="N144" s="68" t="s">
        <v>2391</v>
      </c>
      <c r="O144" s="367"/>
      <c r="P144" s="336">
        <f>M144*R144%</f>
        <v>5394.07</v>
      </c>
      <c r="Q144" s="336">
        <f t="shared" si="4"/>
        <v>5394.07</v>
      </c>
      <c r="R144" s="336">
        <v>11</v>
      </c>
      <c r="S144" s="308">
        <v>44697</v>
      </c>
      <c r="T144" s="91" t="s">
        <v>1735</v>
      </c>
      <c r="U144" s="62" t="s">
        <v>1634</v>
      </c>
    </row>
    <row r="145" spans="1:22" s="1367" customFormat="1" ht="75" x14ac:dyDescent="0.25">
      <c r="A145" s="8">
        <v>140</v>
      </c>
      <c r="B145" s="97" t="s">
        <v>490</v>
      </c>
      <c r="C145" s="8">
        <v>2528509443</v>
      </c>
      <c r="D145" s="8" t="s">
        <v>498</v>
      </c>
      <c r="E145" s="14" t="s">
        <v>500</v>
      </c>
      <c r="F145" s="62" t="s">
        <v>1477</v>
      </c>
      <c r="G145" s="14" t="s">
        <v>501</v>
      </c>
      <c r="H145" s="65" t="s">
        <v>497</v>
      </c>
      <c r="I145" s="14" t="s">
        <v>2505</v>
      </c>
      <c r="J145" s="14" t="s">
        <v>8</v>
      </c>
      <c r="K145" s="90">
        <v>1.8E-3</v>
      </c>
      <c r="L145" s="68">
        <v>1615.28</v>
      </c>
      <c r="M145" s="68">
        <v>29075.040000000001</v>
      </c>
      <c r="N145" s="68" t="s">
        <v>2506</v>
      </c>
      <c r="O145" s="367"/>
      <c r="P145" s="336">
        <f>M145*R145%</f>
        <v>3198.2544000000003</v>
      </c>
      <c r="Q145" s="336">
        <f t="shared" si="4"/>
        <v>3198.2544000000003</v>
      </c>
      <c r="R145" s="336">
        <v>11</v>
      </c>
      <c r="S145" s="308">
        <v>44697</v>
      </c>
      <c r="T145" s="91" t="s">
        <v>1643</v>
      </c>
      <c r="U145" s="62" t="s">
        <v>1634</v>
      </c>
    </row>
    <row r="146" spans="1:22" s="1367" customFormat="1" ht="75" x14ac:dyDescent="0.25">
      <c r="A146" s="8">
        <v>141</v>
      </c>
      <c r="B146" s="97" t="s">
        <v>490</v>
      </c>
      <c r="C146" s="8">
        <v>2528509443</v>
      </c>
      <c r="D146" s="8" t="s">
        <v>502</v>
      </c>
      <c r="E146" s="14" t="s">
        <v>2508</v>
      </c>
      <c r="F146" s="62" t="s">
        <v>1477</v>
      </c>
      <c r="G146" s="14" t="s">
        <v>2509</v>
      </c>
      <c r="H146" s="65" t="s">
        <v>497</v>
      </c>
      <c r="I146" s="14" t="s">
        <v>2505</v>
      </c>
      <c r="J146" s="14" t="s">
        <v>8</v>
      </c>
      <c r="K146" s="90">
        <v>2.5000000000000001E-3</v>
      </c>
      <c r="L146" s="68">
        <v>1163.99</v>
      </c>
      <c r="M146" s="68">
        <v>29099.75</v>
      </c>
      <c r="N146" s="15" t="s">
        <v>2390</v>
      </c>
      <c r="O146" s="367"/>
      <c r="P146" s="336">
        <f>M146*R146%</f>
        <v>3200.9724999999999</v>
      </c>
      <c r="Q146" s="336">
        <f t="shared" si="4"/>
        <v>3200.9724999999999</v>
      </c>
      <c r="R146" s="336">
        <v>11</v>
      </c>
      <c r="S146" s="308">
        <v>44697</v>
      </c>
      <c r="T146" s="91" t="s">
        <v>1643</v>
      </c>
      <c r="U146" s="62" t="s">
        <v>1634</v>
      </c>
    </row>
    <row r="147" spans="1:22" s="1367" customFormat="1" ht="135" x14ac:dyDescent="0.25">
      <c r="A147" s="8">
        <v>142</v>
      </c>
      <c r="B147" s="97" t="s">
        <v>508</v>
      </c>
      <c r="C147" s="8">
        <v>2687219951</v>
      </c>
      <c r="D147" s="8" t="s">
        <v>509</v>
      </c>
      <c r="E147" s="14" t="s">
        <v>510</v>
      </c>
      <c r="F147" s="62" t="s">
        <v>1478</v>
      </c>
      <c r="G147" s="14" t="s">
        <v>511</v>
      </c>
      <c r="H147" s="65" t="s">
        <v>512</v>
      </c>
      <c r="I147" s="1436" t="s">
        <v>3335</v>
      </c>
      <c r="J147" s="14" t="s">
        <v>8</v>
      </c>
      <c r="K147" s="90">
        <v>0.22</v>
      </c>
      <c r="L147" s="1369">
        <f>M147/2200</f>
        <v>1318.74</v>
      </c>
      <c r="M147" s="68">
        <v>2901228</v>
      </c>
      <c r="N147" s="14" t="s">
        <v>2248</v>
      </c>
      <c r="O147" s="367"/>
      <c r="P147" s="336">
        <f>M147*R147%</f>
        <v>30462.894</v>
      </c>
      <c r="Q147" s="336">
        <f t="shared" si="4"/>
        <v>30462.894</v>
      </c>
      <c r="R147" s="336">
        <v>1.05</v>
      </c>
      <c r="S147" s="308">
        <v>44886</v>
      </c>
      <c r="T147" s="94" t="s">
        <v>1737</v>
      </c>
      <c r="U147" s="62" t="s">
        <v>1634</v>
      </c>
    </row>
    <row r="148" spans="1:22" s="1367" customFormat="1" ht="112.5" x14ac:dyDescent="0.25">
      <c r="A148" s="8">
        <v>143</v>
      </c>
      <c r="B148" s="97" t="s">
        <v>508</v>
      </c>
      <c r="C148" s="8">
        <v>2687219951</v>
      </c>
      <c r="D148" s="8" t="s">
        <v>513</v>
      </c>
      <c r="E148" s="14" t="s">
        <v>516</v>
      </c>
      <c r="F148" s="62" t="s">
        <v>1479</v>
      </c>
      <c r="G148" s="14" t="s">
        <v>517</v>
      </c>
      <c r="H148" s="65" t="s">
        <v>518</v>
      </c>
      <c r="I148" s="14"/>
      <c r="J148" s="14" t="s">
        <v>8</v>
      </c>
      <c r="K148" s="90">
        <v>0.55600000000000005</v>
      </c>
      <c r="L148" s="1369">
        <f>M148/5560</f>
        <v>219.73999999999998</v>
      </c>
      <c r="M148" s="68">
        <v>1221754.3999999999</v>
      </c>
      <c r="N148" s="14" t="s">
        <v>3359</v>
      </c>
      <c r="O148" s="367"/>
      <c r="P148" s="336">
        <f>M148*R148%</f>
        <v>12217.544</v>
      </c>
      <c r="Q148" s="336">
        <f t="shared" si="4"/>
        <v>12217.544</v>
      </c>
      <c r="R148" s="336">
        <v>1</v>
      </c>
      <c r="S148" s="308">
        <v>43684</v>
      </c>
      <c r="T148" s="94" t="s">
        <v>1738</v>
      </c>
      <c r="U148" s="62" t="s">
        <v>1639</v>
      </c>
    </row>
    <row r="149" spans="1:22" s="1367" customFormat="1" ht="37.5" x14ac:dyDescent="0.25">
      <c r="A149" s="8">
        <v>144</v>
      </c>
      <c r="B149" s="103" t="s">
        <v>1863</v>
      </c>
      <c r="C149" s="14">
        <v>2005901755</v>
      </c>
      <c r="D149" s="16" t="s">
        <v>519</v>
      </c>
      <c r="E149" s="85" t="s">
        <v>1866</v>
      </c>
      <c r="F149" s="86" t="s">
        <v>1867</v>
      </c>
      <c r="G149" s="85" t="s">
        <v>1868</v>
      </c>
      <c r="H149" s="92" t="s">
        <v>520</v>
      </c>
      <c r="I149" s="85" t="s">
        <v>1869</v>
      </c>
      <c r="J149" s="14" t="s">
        <v>8</v>
      </c>
      <c r="K149" s="87">
        <v>2.5000000000000001E-3</v>
      </c>
      <c r="L149" s="88">
        <v>1641.43</v>
      </c>
      <c r="M149" s="68">
        <v>41035.78</v>
      </c>
      <c r="N149" s="8" t="s">
        <v>1870</v>
      </c>
      <c r="O149" s="367"/>
      <c r="P149" s="336">
        <f>M149*R149%</f>
        <v>4513.9358000000002</v>
      </c>
      <c r="Q149" s="336">
        <f t="shared" si="4"/>
        <v>4513.9358000000002</v>
      </c>
      <c r="R149" s="336">
        <v>11</v>
      </c>
      <c r="S149" s="308" t="s">
        <v>1658</v>
      </c>
      <c r="T149" s="89" t="s">
        <v>1643</v>
      </c>
      <c r="U149" s="62" t="s">
        <v>1634</v>
      </c>
    </row>
    <row r="150" spans="1:22" s="1367" customFormat="1" ht="37.5" x14ac:dyDescent="0.25">
      <c r="A150" s="8">
        <v>145</v>
      </c>
      <c r="B150" s="103" t="s">
        <v>2792</v>
      </c>
      <c r="C150" s="14">
        <v>2602509727</v>
      </c>
      <c r="D150" s="16" t="s">
        <v>522</v>
      </c>
      <c r="E150" s="85" t="s">
        <v>2901</v>
      </c>
      <c r="F150" s="86"/>
      <c r="G150" s="85" t="s">
        <v>2900</v>
      </c>
      <c r="H150" s="92" t="s">
        <v>524</v>
      </c>
      <c r="I150" s="85"/>
      <c r="J150" s="14" t="s">
        <v>8</v>
      </c>
      <c r="K150" s="87">
        <v>2.8199999999999999E-2</v>
      </c>
      <c r="L150" s="88">
        <f>M150/282</f>
        <v>299.13</v>
      </c>
      <c r="M150" s="68">
        <v>84354.66</v>
      </c>
      <c r="N150" s="8">
        <v>2020</v>
      </c>
      <c r="O150" s="367"/>
      <c r="P150" s="336">
        <f>M150*R150%</f>
        <v>421.77330000000001</v>
      </c>
      <c r="Q150" s="336">
        <f t="shared" si="4"/>
        <v>421.77330000000001</v>
      </c>
      <c r="R150" s="336">
        <v>0.5</v>
      </c>
      <c r="S150" s="308" t="s">
        <v>1740</v>
      </c>
      <c r="T150" s="93" t="s">
        <v>1741</v>
      </c>
      <c r="U150" s="62" t="s">
        <v>1824</v>
      </c>
    </row>
    <row r="151" spans="1:22" s="1367" customFormat="1" ht="56.25" x14ac:dyDescent="0.25">
      <c r="A151" s="8">
        <v>146</v>
      </c>
      <c r="B151" s="103" t="s">
        <v>2699</v>
      </c>
      <c r="C151" s="14">
        <v>2005118082</v>
      </c>
      <c r="D151" s="16" t="s">
        <v>2701</v>
      </c>
      <c r="E151" s="63" t="s">
        <v>2703</v>
      </c>
      <c r="F151" s="81" t="s">
        <v>2633</v>
      </c>
      <c r="G151" s="85" t="s">
        <v>2704</v>
      </c>
      <c r="H151" s="92">
        <v>43689</v>
      </c>
      <c r="I151" s="85"/>
      <c r="J151" s="14" t="s">
        <v>8</v>
      </c>
      <c r="K151" s="87">
        <v>0.81079999999999997</v>
      </c>
      <c r="L151" s="88">
        <f>M151/8108</f>
        <v>219.73999999999998</v>
      </c>
      <c r="M151" s="68">
        <v>1781651.92</v>
      </c>
      <c r="N151" s="8" t="s">
        <v>2705</v>
      </c>
      <c r="O151" s="367">
        <v>18529.16</v>
      </c>
      <c r="P151" s="336">
        <v>18529.16</v>
      </c>
      <c r="Q151" s="336">
        <f t="shared" si="4"/>
        <v>18529.16</v>
      </c>
      <c r="R151" s="336">
        <f>P151*100/M151</f>
        <v>1.0399988792423607</v>
      </c>
      <c r="S151" s="308">
        <v>45483</v>
      </c>
      <c r="T151" s="93" t="s">
        <v>1683</v>
      </c>
      <c r="U151" s="62" t="s">
        <v>1632</v>
      </c>
      <c r="V151" s="1459" t="s">
        <v>2249</v>
      </c>
    </row>
    <row r="152" spans="1:22" s="1367" customFormat="1" ht="75" x14ac:dyDescent="0.25">
      <c r="A152" s="8">
        <v>147</v>
      </c>
      <c r="B152" s="97" t="s">
        <v>2790</v>
      </c>
      <c r="C152" s="14" t="s">
        <v>526</v>
      </c>
      <c r="D152" s="14" t="s">
        <v>527</v>
      </c>
      <c r="E152" s="16" t="s">
        <v>530</v>
      </c>
      <c r="F152" s="81" t="s">
        <v>1480</v>
      </c>
      <c r="G152" s="14" t="s">
        <v>531</v>
      </c>
      <c r="H152" s="65" t="s">
        <v>532</v>
      </c>
      <c r="I152" s="14"/>
      <c r="J152" s="14" t="s">
        <v>8</v>
      </c>
      <c r="K152" s="90">
        <v>7.8799999999999995E-2</v>
      </c>
      <c r="L152" s="68">
        <v>474.16</v>
      </c>
      <c r="M152" s="68">
        <v>373638.08</v>
      </c>
      <c r="N152" s="8" t="s">
        <v>533</v>
      </c>
      <c r="O152" s="367"/>
      <c r="P152" s="336">
        <f>M152*R152%</f>
        <v>16813.713599999999</v>
      </c>
      <c r="Q152" s="336">
        <f t="shared" si="4"/>
        <v>16813.713599999999</v>
      </c>
      <c r="R152" s="336">
        <v>4.5</v>
      </c>
      <c r="S152" s="308" t="s">
        <v>1742</v>
      </c>
      <c r="T152" s="91" t="s">
        <v>1743</v>
      </c>
      <c r="U152" s="62" t="s">
        <v>1632</v>
      </c>
    </row>
    <row r="153" spans="1:22" s="1367" customFormat="1" ht="75" x14ac:dyDescent="0.25">
      <c r="A153" s="8">
        <v>148</v>
      </c>
      <c r="B153" s="97" t="s">
        <v>2790</v>
      </c>
      <c r="C153" s="14" t="s">
        <v>526</v>
      </c>
      <c r="D153" s="14" t="s">
        <v>535</v>
      </c>
      <c r="E153" s="16" t="s">
        <v>536</v>
      </c>
      <c r="F153" s="81" t="s">
        <v>1480</v>
      </c>
      <c r="G153" s="14" t="s">
        <v>537</v>
      </c>
      <c r="H153" s="65" t="s">
        <v>532</v>
      </c>
      <c r="I153" s="14"/>
      <c r="J153" s="14" t="s">
        <v>8</v>
      </c>
      <c r="K153" s="90">
        <v>6.1000000000000004E-3</v>
      </c>
      <c r="L153" s="68">
        <v>987.86</v>
      </c>
      <c r="M153" s="68">
        <v>60259.460000000006</v>
      </c>
      <c r="N153" s="8" t="s">
        <v>538</v>
      </c>
      <c r="O153" s="367"/>
      <c r="P153" s="336">
        <f>M153*R153%</f>
        <v>6025.9460000000008</v>
      </c>
      <c r="Q153" s="336">
        <f t="shared" si="4"/>
        <v>6025.9460000000008</v>
      </c>
      <c r="R153" s="336">
        <v>10</v>
      </c>
      <c r="S153" s="308" t="s">
        <v>1742</v>
      </c>
      <c r="T153" s="91" t="s">
        <v>1727</v>
      </c>
      <c r="U153" s="62" t="s">
        <v>1713</v>
      </c>
    </row>
    <row r="154" spans="1:22" s="1367" customFormat="1" ht="78.75" x14ac:dyDescent="0.25">
      <c r="A154" s="8">
        <v>149</v>
      </c>
      <c r="B154" s="97" t="s">
        <v>539</v>
      </c>
      <c r="C154" s="14" t="s">
        <v>1481</v>
      </c>
      <c r="D154" s="14" t="s">
        <v>543</v>
      </c>
      <c r="E154" s="16" t="s">
        <v>546</v>
      </c>
      <c r="F154" s="81" t="s">
        <v>1482</v>
      </c>
      <c r="G154" s="14" t="s">
        <v>547</v>
      </c>
      <c r="H154" s="65" t="s">
        <v>548</v>
      </c>
      <c r="I154" s="14"/>
      <c r="J154" s="14" t="s">
        <v>8</v>
      </c>
      <c r="K154" s="1385">
        <v>1.11E-2</v>
      </c>
      <c r="L154" s="68">
        <v>724.18</v>
      </c>
      <c r="M154" s="68">
        <v>80383.98</v>
      </c>
      <c r="N154" s="8" t="s">
        <v>549</v>
      </c>
      <c r="O154" s="367"/>
      <c r="P154" s="336">
        <v>9495.32</v>
      </c>
      <c r="Q154" s="336">
        <f t="shared" si="4"/>
        <v>9495.32</v>
      </c>
      <c r="R154" s="336">
        <v>11.811999999999999</v>
      </c>
      <c r="S154" s="308" t="s">
        <v>1745</v>
      </c>
      <c r="T154" s="91" t="s">
        <v>1746</v>
      </c>
      <c r="U154" s="62" t="s">
        <v>1634</v>
      </c>
      <c r="V154" s="1460" t="s">
        <v>2198</v>
      </c>
    </row>
    <row r="155" spans="1:22" s="1367" customFormat="1" ht="56.25" x14ac:dyDescent="0.25">
      <c r="A155" s="8">
        <v>150</v>
      </c>
      <c r="B155" s="97" t="s">
        <v>3447</v>
      </c>
      <c r="C155" s="14">
        <v>2533518432</v>
      </c>
      <c r="D155" s="14" t="s">
        <v>550</v>
      </c>
      <c r="E155" s="16" t="s">
        <v>552</v>
      </c>
      <c r="F155" s="81"/>
      <c r="G155" s="14" t="s">
        <v>2902</v>
      </c>
      <c r="H155" s="65" t="s">
        <v>552</v>
      </c>
      <c r="I155" s="14"/>
      <c r="J155" s="14" t="s">
        <v>8</v>
      </c>
      <c r="K155" s="16" t="s">
        <v>1483</v>
      </c>
      <c r="L155" s="68">
        <f>M155/500</f>
        <v>2217.7800000000002</v>
      </c>
      <c r="M155" s="68">
        <v>1108890</v>
      </c>
      <c r="N155" s="8" t="s">
        <v>3444</v>
      </c>
      <c r="O155" s="367"/>
      <c r="P155" s="336">
        <f>M155*R155%</f>
        <v>33266.699999999997</v>
      </c>
      <c r="Q155" s="336">
        <f t="shared" si="4"/>
        <v>33266.699999999997</v>
      </c>
      <c r="R155" s="336">
        <v>3</v>
      </c>
      <c r="S155" s="308" t="s">
        <v>2588</v>
      </c>
      <c r="T155" s="91" t="s">
        <v>1747</v>
      </c>
      <c r="U155" s="62"/>
    </row>
    <row r="156" spans="1:22" s="1367" customFormat="1" ht="95.25" customHeight="1" x14ac:dyDescent="0.25">
      <c r="A156" s="8">
        <v>151</v>
      </c>
      <c r="B156" s="1437" t="s">
        <v>3748</v>
      </c>
      <c r="C156" s="159" t="s">
        <v>3657</v>
      </c>
      <c r="D156" s="14" t="s">
        <v>553</v>
      </c>
      <c r="E156" s="16" t="s">
        <v>3745</v>
      </c>
      <c r="F156" s="81" t="s">
        <v>3744</v>
      </c>
      <c r="G156" s="14" t="s">
        <v>3746</v>
      </c>
      <c r="H156" s="65" t="s">
        <v>3747</v>
      </c>
      <c r="I156" s="1131" t="s">
        <v>3921</v>
      </c>
      <c r="J156" s="14" t="s">
        <v>8</v>
      </c>
      <c r="K156" s="16" t="s">
        <v>1484</v>
      </c>
      <c r="L156" s="68">
        <f>M156/600</f>
        <v>1755.74</v>
      </c>
      <c r="M156" s="68">
        <v>1053444</v>
      </c>
      <c r="N156" s="8" t="s">
        <v>3445</v>
      </c>
      <c r="O156" s="1429"/>
      <c r="P156" s="336">
        <f>M156*R156%</f>
        <v>31603.32</v>
      </c>
      <c r="Q156" s="336">
        <f t="shared" si="4"/>
        <v>31603.32</v>
      </c>
      <c r="R156" s="336">
        <v>3</v>
      </c>
      <c r="S156" s="308">
        <v>45742</v>
      </c>
      <c r="T156" s="91" t="s">
        <v>1748</v>
      </c>
      <c r="U156" s="62" t="s">
        <v>1634</v>
      </c>
    </row>
    <row r="157" spans="1:22" s="1367" customFormat="1" ht="56.25" x14ac:dyDescent="0.25">
      <c r="A157" s="8">
        <v>152</v>
      </c>
      <c r="B157" s="97" t="s">
        <v>2456</v>
      </c>
      <c r="C157" s="1368" t="s">
        <v>1485</v>
      </c>
      <c r="D157" s="14" t="s">
        <v>556</v>
      </c>
      <c r="E157" s="16" t="s">
        <v>2465</v>
      </c>
      <c r="F157" s="81" t="s">
        <v>2459</v>
      </c>
      <c r="G157" s="14" t="s">
        <v>2460</v>
      </c>
      <c r="H157" s="65" t="s">
        <v>2461</v>
      </c>
      <c r="I157" s="14" t="s">
        <v>2462</v>
      </c>
      <c r="J157" s="14" t="s">
        <v>8</v>
      </c>
      <c r="K157" s="1386">
        <v>4.0000000000000001E-3</v>
      </c>
      <c r="L157" s="1368">
        <f>M157/40</f>
        <v>1030.8600000000001</v>
      </c>
      <c r="M157" s="68">
        <v>41234.400000000001</v>
      </c>
      <c r="N157" s="8" t="s">
        <v>2463</v>
      </c>
      <c r="O157" s="367"/>
      <c r="P157" s="336">
        <f>M157*R157%</f>
        <v>412.34400000000005</v>
      </c>
      <c r="Q157" s="336">
        <f t="shared" si="4"/>
        <v>412.34400000000005</v>
      </c>
      <c r="R157" s="336">
        <v>1</v>
      </c>
      <c r="S157" s="308">
        <v>45428</v>
      </c>
      <c r="T157" s="91" t="s">
        <v>2464</v>
      </c>
      <c r="U157" s="62" t="s">
        <v>1850</v>
      </c>
    </row>
    <row r="158" spans="1:22" s="1367" customFormat="1" ht="56.25" x14ac:dyDescent="0.25">
      <c r="A158" s="8">
        <v>153</v>
      </c>
      <c r="B158" s="103" t="s">
        <v>3882</v>
      </c>
      <c r="C158" s="14">
        <v>2277300075</v>
      </c>
      <c r="D158" s="14" t="s">
        <v>3883</v>
      </c>
      <c r="E158" s="16" t="s">
        <v>3885</v>
      </c>
      <c r="F158" s="81" t="s">
        <v>3797</v>
      </c>
      <c r="G158" s="14" t="s">
        <v>3884</v>
      </c>
      <c r="H158" s="65">
        <v>44102</v>
      </c>
      <c r="I158" s="14"/>
      <c r="J158" s="14" t="s">
        <v>8</v>
      </c>
      <c r="K158" s="1385">
        <v>3.0999999999999999E-3</v>
      </c>
      <c r="L158" s="14">
        <f>M158/31</f>
        <v>1595.57</v>
      </c>
      <c r="M158" s="68">
        <v>49462.67</v>
      </c>
      <c r="N158" s="8" t="s">
        <v>3886</v>
      </c>
      <c r="O158" s="367"/>
      <c r="P158" s="336">
        <f>M158*R158%</f>
        <v>3957.0135999999998</v>
      </c>
      <c r="Q158" s="394">
        <v>2433.5700000000002</v>
      </c>
      <c r="R158" s="336">
        <v>8</v>
      </c>
      <c r="S158" s="308">
        <v>45172</v>
      </c>
      <c r="T158" s="91" t="s">
        <v>1845</v>
      </c>
      <c r="U158" s="62" t="s">
        <v>1634</v>
      </c>
    </row>
    <row r="159" spans="1:22" s="1367" customFormat="1" ht="56.25" x14ac:dyDescent="0.25">
      <c r="A159" s="8">
        <v>154</v>
      </c>
      <c r="B159" s="103" t="s">
        <v>3893</v>
      </c>
      <c r="C159" s="14">
        <v>3362516735</v>
      </c>
      <c r="D159" s="14" t="s">
        <v>3889</v>
      </c>
      <c r="E159" s="16" t="s">
        <v>3890</v>
      </c>
      <c r="F159" s="81" t="s">
        <v>3797</v>
      </c>
      <c r="G159" s="14" t="s">
        <v>3891</v>
      </c>
      <c r="H159" s="65">
        <v>44102</v>
      </c>
      <c r="I159" s="14"/>
      <c r="J159" s="14" t="s">
        <v>8</v>
      </c>
      <c r="K159" s="1385">
        <v>4.0000000000000001E-3</v>
      </c>
      <c r="L159" s="14">
        <f>M159/40</f>
        <v>1595.5700000000002</v>
      </c>
      <c r="M159" s="68">
        <v>63822.8</v>
      </c>
      <c r="N159" s="8" t="s">
        <v>3892</v>
      </c>
      <c r="O159" s="367"/>
      <c r="P159" s="336">
        <f>M159*R159%</f>
        <v>5105.8240000000005</v>
      </c>
      <c r="Q159" s="336">
        <v>1022.22</v>
      </c>
      <c r="R159" s="336">
        <v>8</v>
      </c>
      <c r="S159" s="308">
        <v>45172</v>
      </c>
      <c r="T159" s="91" t="s">
        <v>1845</v>
      </c>
      <c r="U159" s="62" t="s">
        <v>1634</v>
      </c>
    </row>
    <row r="160" spans="1:22" s="1367" customFormat="1" ht="75" x14ac:dyDescent="0.25">
      <c r="A160" s="8">
        <v>155</v>
      </c>
      <c r="B160" s="103" t="s">
        <v>2789</v>
      </c>
      <c r="C160" s="8">
        <v>2530420737</v>
      </c>
      <c r="D160" s="8" t="s">
        <v>568</v>
      </c>
      <c r="E160" s="14" t="s">
        <v>2949</v>
      </c>
      <c r="F160" s="62" t="s">
        <v>2919</v>
      </c>
      <c r="G160" s="14" t="s">
        <v>2950</v>
      </c>
      <c r="H160" s="65" t="s">
        <v>570</v>
      </c>
      <c r="I160" s="14"/>
      <c r="J160" s="14" t="s">
        <v>8</v>
      </c>
      <c r="K160" s="90">
        <v>0.01</v>
      </c>
      <c r="L160" s="68">
        <f>M160/100</f>
        <v>223.7</v>
      </c>
      <c r="M160" s="68">
        <v>22370</v>
      </c>
      <c r="N160" s="68" t="s">
        <v>2917</v>
      </c>
      <c r="O160" s="367"/>
      <c r="P160" s="336">
        <f>M160*R160%</f>
        <v>223.70000000000002</v>
      </c>
      <c r="Q160" s="336">
        <f t="shared" ref="Q160:Q172" si="5">P160</f>
        <v>223.70000000000002</v>
      </c>
      <c r="R160" s="336">
        <v>1</v>
      </c>
      <c r="S160" s="308">
        <v>44350</v>
      </c>
      <c r="T160" s="91" t="s">
        <v>1749</v>
      </c>
      <c r="U160" s="62" t="s">
        <v>1824</v>
      </c>
    </row>
    <row r="161" spans="1:21" s="1367" customFormat="1" ht="75" x14ac:dyDescent="0.25">
      <c r="A161" s="8">
        <v>156</v>
      </c>
      <c r="B161" s="97" t="s">
        <v>571</v>
      </c>
      <c r="C161" s="62" t="s">
        <v>1486</v>
      </c>
      <c r="D161" s="105" t="s">
        <v>573</v>
      </c>
      <c r="E161" s="1370" t="s">
        <v>575</v>
      </c>
      <c r="F161" s="1370" t="s">
        <v>576</v>
      </c>
      <c r="G161" s="14" t="s">
        <v>577</v>
      </c>
      <c r="H161" s="65">
        <v>43000</v>
      </c>
      <c r="I161" s="14" t="s">
        <v>3791</v>
      </c>
      <c r="J161" s="14" t="s">
        <v>8</v>
      </c>
      <c r="K161" s="90">
        <v>0.09</v>
      </c>
      <c r="L161" s="68">
        <f>M161/900</f>
        <v>754.66</v>
      </c>
      <c r="M161" s="68">
        <v>679194</v>
      </c>
      <c r="N161" s="105" t="s">
        <v>3628</v>
      </c>
      <c r="O161" s="367"/>
      <c r="P161" s="336">
        <f>M161*R161%</f>
        <v>54335.520000000004</v>
      </c>
      <c r="Q161" s="336">
        <f t="shared" si="5"/>
        <v>54335.520000000004</v>
      </c>
      <c r="R161" s="336">
        <v>8</v>
      </c>
      <c r="S161" s="308">
        <v>45074</v>
      </c>
      <c r="T161" s="91" t="s">
        <v>1750</v>
      </c>
      <c r="U161" s="62" t="s">
        <v>1634</v>
      </c>
    </row>
    <row r="162" spans="1:21" s="1367" customFormat="1" ht="56.25" x14ac:dyDescent="0.25">
      <c r="A162" s="8">
        <v>157</v>
      </c>
      <c r="B162" s="103" t="s">
        <v>580</v>
      </c>
      <c r="C162" s="50">
        <v>2634808495</v>
      </c>
      <c r="D162" s="16" t="s">
        <v>582</v>
      </c>
      <c r="E162" s="65" t="s">
        <v>585</v>
      </c>
      <c r="F162" s="62" t="s">
        <v>1487</v>
      </c>
      <c r="G162" s="14" t="s">
        <v>586</v>
      </c>
      <c r="H162" s="65">
        <v>43293</v>
      </c>
      <c r="I162" s="14"/>
      <c r="J162" s="14" t="s">
        <v>8</v>
      </c>
      <c r="K162" s="90">
        <v>3.3799999999999997E-2</v>
      </c>
      <c r="L162" s="68">
        <v>202.96</v>
      </c>
      <c r="M162" s="68">
        <v>68600.479999999996</v>
      </c>
      <c r="N162" s="68" t="s">
        <v>588</v>
      </c>
      <c r="O162" s="367"/>
      <c r="P162" s="336">
        <f>M162*R162%</f>
        <v>5831.0407999999998</v>
      </c>
      <c r="Q162" s="336">
        <f t="shared" si="5"/>
        <v>5831.0407999999998</v>
      </c>
      <c r="R162" s="336">
        <v>8.5</v>
      </c>
      <c r="S162" s="308" t="s">
        <v>2568</v>
      </c>
      <c r="T162" s="65" t="s">
        <v>1751</v>
      </c>
      <c r="U162" s="62" t="s">
        <v>1639</v>
      </c>
    </row>
    <row r="163" spans="1:21" s="1367" customFormat="1" ht="37.5" x14ac:dyDescent="0.25">
      <c r="A163" s="8">
        <v>158</v>
      </c>
      <c r="B163" s="97" t="s">
        <v>589</v>
      </c>
      <c r="C163" s="8">
        <v>2899311755</v>
      </c>
      <c r="D163" s="16" t="s">
        <v>591</v>
      </c>
      <c r="E163" s="14" t="s">
        <v>594</v>
      </c>
      <c r="F163" s="62" t="s">
        <v>1488</v>
      </c>
      <c r="G163" s="14" t="s">
        <v>595</v>
      </c>
      <c r="H163" s="65" t="s">
        <v>1489</v>
      </c>
      <c r="I163" s="14"/>
      <c r="J163" s="14" t="s">
        <v>8</v>
      </c>
      <c r="K163" s="90">
        <v>4.6800000000000001E-2</v>
      </c>
      <c r="L163" s="68">
        <v>1596.35</v>
      </c>
      <c r="M163" s="68">
        <v>747091.79999999993</v>
      </c>
      <c r="N163" s="68" t="s">
        <v>596</v>
      </c>
      <c r="O163" s="367"/>
      <c r="P163" s="336">
        <v>23197.17</v>
      </c>
      <c r="Q163" s="336">
        <f t="shared" si="5"/>
        <v>23197.17</v>
      </c>
      <c r="R163" s="336">
        <v>3.1</v>
      </c>
      <c r="S163" s="308" t="s">
        <v>2590</v>
      </c>
      <c r="T163" s="94" t="s">
        <v>1753</v>
      </c>
      <c r="U163" s="62" t="s">
        <v>1713</v>
      </c>
    </row>
    <row r="164" spans="1:21" s="1367" customFormat="1" ht="56.25" x14ac:dyDescent="0.25">
      <c r="A164" s="8">
        <v>159</v>
      </c>
      <c r="B164" s="97" t="s">
        <v>589</v>
      </c>
      <c r="C164" s="8">
        <v>2899311755</v>
      </c>
      <c r="D164" s="16" t="s">
        <v>597</v>
      </c>
      <c r="E164" s="14" t="s">
        <v>600</v>
      </c>
      <c r="F164" s="62" t="s">
        <v>1490</v>
      </c>
      <c r="G164" s="14" t="s">
        <v>601</v>
      </c>
      <c r="H164" s="65" t="s">
        <v>602</v>
      </c>
      <c r="I164" s="14"/>
      <c r="J164" s="14" t="s">
        <v>8</v>
      </c>
      <c r="K164" s="90">
        <v>1.7189000000000001</v>
      </c>
      <c r="L164" s="68">
        <v>294.72000000000003</v>
      </c>
      <c r="M164" s="68">
        <v>5065942.08</v>
      </c>
      <c r="N164" s="68" t="s">
        <v>603</v>
      </c>
      <c r="O164" s="367"/>
      <c r="P164" s="336">
        <v>52685.74</v>
      </c>
      <c r="Q164" s="336">
        <f t="shared" si="5"/>
        <v>52685.74</v>
      </c>
      <c r="R164" s="336">
        <v>1.04</v>
      </c>
      <c r="S164" s="308" t="s">
        <v>2591</v>
      </c>
      <c r="T164" s="94" t="s">
        <v>3007</v>
      </c>
      <c r="U164" s="62" t="s">
        <v>1632</v>
      </c>
    </row>
    <row r="165" spans="1:21" s="1367" customFormat="1" ht="56.25" x14ac:dyDescent="0.25">
      <c r="A165" s="8">
        <v>160</v>
      </c>
      <c r="B165" s="97" t="s">
        <v>589</v>
      </c>
      <c r="C165" s="8">
        <v>2899311755</v>
      </c>
      <c r="D165" s="16" t="s">
        <v>3001</v>
      </c>
      <c r="E165" s="14" t="s">
        <v>3003</v>
      </c>
      <c r="F165" s="62" t="s">
        <v>3004</v>
      </c>
      <c r="G165" s="14" t="s">
        <v>3005</v>
      </c>
      <c r="H165" s="65">
        <v>43749</v>
      </c>
      <c r="I165" s="14"/>
      <c r="J165" s="14" t="s">
        <v>8</v>
      </c>
      <c r="K165" s="90">
        <v>0.112</v>
      </c>
      <c r="L165" s="68">
        <f>M165/1120</f>
        <v>569.85</v>
      </c>
      <c r="M165" s="68">
        <v>638232</v>
      </c>
      <c r="N165" s="68" t="s">
        <v>3006</v>
      </c>
      <c r="O165" s="367">
        <v>10131.959999999999</v>
      </c>
      <c r="P165" s="336">
        <v>10131.959999999999</v>
      </c>
      <c r="Q165" s="336">
        <f t="shared" si="5"/>
        <v>10131.959999999999</v>
      </c>
      <c r="R165" s="336">
        <v>1.5880000000000001</v>
      </c>
      <c r="S165" s="308">
        <v>45546</v>
      </c>
      <c r="T165" s="94" t="s">
        <v>3008</v>
      </c>
      <c r="U165" s="62" t="s">
        <v>1634</v>
      </c>
    </row>
    <row r="166" spans="1:21" s="1367" customFormat="1" ht="56.25" x14ac:dyDescent="0.25">
      <c r="A166" s="8">
        <v>161</v>
      </c>
      <c r="B166" s="97" t="s">
        <v>604</v>
      </c>
      <c r="C166" s="8">
        <v>2779213383</v>
      </c>
      <c r="D166" s="16" t="s">
        <v>606</v>
      </c>
      <c r="E166" s="14" t="s">
        <v>609</v>
      </c>
      <c r="F166" s="62" t="s">
        <v>560</v>
      </c>
      <c r="G166" s="14" t="s">
        <v>610</v>
      </c>
      <c r="H166" s="65">
        <v>43294</v>
      </c>
      <c r="I166" s="14"/>
      <c r="J166" s="14" t="s">
        <v>8</v>
      </c>
      <c r="K166" s="90">
        <v>5.9700000000000003E-2</v>
      </c>
      <c r="L166" s="68">
        <v>724.18</v>
      </c>
      <c r="M166" s="68">
        <v>432335.46</v>
      </c>
      <c r="N166" s="68" t="s">
        <v>612</v>
      </c>
      <c r="O166" s="367"/>
      <c r="P166" s="336">
        <v>14137.36</v>
      </c>
      <c r="Q166" s="336">
        <f t="shared" si="5"/>
        <v>14137.36</v>
      </c>
      <c r="R166" s="336">
        <v>3.27</v>
      </c>
      <c r="S166" s="308" t="s">
        <v>2523</v>
      </c>
      <c r="T166" s="94" t="s">
        <v>1754</v>
      </c>
      <c r="U166" s="62" t="s">
        <v>1634</v>
      </c>
    </row>
    <row r="167" spans="1:21" s="1367" customFormat="1" ht="75" x14ac:dyDescent="0.25">
      <c r="A167" s="8">
        <v>162</v>
      </c>
      <c r="B167" s="97" t="s">
        <v>2173</v>
      </c>
      <c r="C167" s="8">
        <v>3051612424</v>
      </c>
      <c r="D167" s="16" t="s">
        <v>613</v>
      </c>
      <c r="E167" s="14" t="s">
        <v>2175</v>
      </c>
      <c r="F167" s="62" t="s">
        <v>6</v>
      </c>
      <c r="G167" s="14" t="s">
        <v>2176</v>
      </c>
      <c r="H167" s="65">
        <v>42331</v>
      </c>
      <c r="I167" s="14"/>
      <c r="J167" s="14" t="s">
        <v>8</v>
      </c>
      <c r="K167" s="90">
        <v>0.1507</v>
      </c>
      <c r="L167" s="68">
        <f>M167/1507</f>
        <v>940.08</v>
      </c>
      <c r="M167" s="68">
        <v>1416700.56</v>
      </c>
      <c r="N167" s="68" t="s">
        <v>2177</v>
      </c>
      <c r="O167" s="367"/>
      <c r="P167" s="336">
        <f>M167*R167%</f>
        <v>46042.768200000006</v>
      </c>
      <c r="Q167" s="336">
        <f t="shared" si="5"/>
        <v>46042.768200000006</v>
      </c>
      <c r="R167" s="336">
        <v>3.25</v>
      </c>
      <c r="S167" s="308">
        <v>44124</v>
      </c>
      <c r="T167" s="62" t="s">
        <v>2178</v>
      </c>
      <c r="U167" s="384">
        <v>3.07</v>
      </c>
    </row>
    <row r="168" spans="1:21" s="1367" customFormat="1" ht="37.5" x14ac:dyDescent="0.25">
      <c r="A168" s="8">
        <v>163</v>
      </c>
      <c r="B168" s="97" t="s">
        <v>616</v>
      </c>
      <c r="C168" s="8">
        <v>2184902014</v>
      </c>
      <c r="D168" s="16" t="s">
        <v>3428</v>
      </c>
      <c r="E168" s="65" t="s">
        <v>620</v>
      </c>
      <c r="F168" s="62" t="s">
        <v>1491</v>
      </c>
      <c r="G168" s="14" t="s">
        <v>621</v>
      </c>
      <c r="H168" s="65">
        <v>41947</v>
      </c>
      <c r="I168" s="65">
        <v>43145</v>
      </c>
      <c r="J168" s="14" t="s">
        <v>8</v>
      </c>
      <c r="K168" s="90">
        <v>3.5000000000000001E-3</v>
      </c>
      <c r="L168" s="68">
        <v>1716.69</v>
      </c>
      <c r="M168" s="68">
        <v>60084.15</v>
      </c>
      <c r="N168" s="8" t="s">
        <v>623</v>
      </c>
      <c r="O168" s="367"/>
      <c r="P168" s="336">
        <f>M168*R168%</f>
        <v>3605.049</v>
      </c>
      <c r="Q168" s="336">
        <f t="shared" si="5"/>
        <v>3605.049</v>
      </c>
      <c r="R168" s="336">
        <v>6</v>
      </c>
      <c r="S168" s="308" t="s">
        <v>2592</v>
      </c>
      <c r="T168" s="50" t="s">
        <v>1755</v>
      </c>
      <c r="U168" s="62" t="s">
        <v>1713</v>
      </c>
    </row>
    <row r="169" spans="1:21" s="1367" customFormat="1" ht="56.25" x14ac:dyDescent="0.25">
      <c r="A169" s="8">
        <v>164</v>
      </c>
      <c r="B169" s="97" t="s">
        <v>624</v>
      </c>
      <c r="C169" s="8">
        <v>2033510766</v>
      </c>
      <c r="D169" s="16" t="s">
        <v>626</v>
      </c>
      <c r="E169" s="65" t="s">
        <v>629</v>
      </c>
      <c r="F169" s="62" t="s">
        <v>1492</v>
      </c>
      <c r="G169" s="65" t="s">
        <v>630</v>
      </c>
      <c r="H169" s="65" t="s">
        <v>1493</v>
      </c>
      <c r="I169" s="65">
        <v>43255</v>
      </c>
      <c r="J169" s="14" t="s">
        <v>8</v>
      </c>
      <c r="K169" s="90">
        <v>1.95E-2</v>
      </c>
      <c r="L169" s="68">
        <v>1515.38</v>
      </c>
      <c r="M169" s="68">
        <v>295499.10000000003</v>
      </c>
      <c r="N169" s="8" t="s">
        <v>631</v>
      </c>
      <c r="O169" s="367"/>
      <c r="P169" s="336">
        <f>M169*R169%</f>
        <v>3102.7405500000004</v>
      </c>
      <c r="Q169" s="336">
        <f t="shared" si="5"/>
        <v>3102.7405500000004</v>
      </c>
      <c r="R169" s="336">
        <v>1.05</v>
      </c>
      <c r="S169" s="308">
        <v>44648</v>
      </c>
      <c r="T169" s="1387" t="s">
        <v>1756</v>
      </c>
      <c r="U169" s="62" t="s">
        <v>1713</v>
      </c>
    </row>
    <row r="170" spans="1:21" s="1367" customFormat="1" ht="37.5" x14ac:dyDescent="0.25">
      <c r="A170" s="8">
        <v>165</v>
      </c>
      <c r="B170" s="97" t="s">
        <v>2793</v>
      </c>
      <c r="C170" s="8">
        <v>2474906328</v>
      </c>
      <c r="D170" s="16" t="s">
        <v>633</v>
      </c>
      <c r="E170" s="14" t="s">
        <v>635</v>
      </c>
      <c r="F170" s="62" t="s">
        <v>1494</v>
      </c>
      <c r="G170" s="14" t="s">
        <v>636</v>
      </c>
      <c r="H170" s="65" t="s">
        <v>637</v>
      </c>
      <c r="I170" s="65">
        <v>43200</v>
      </c>
      <c r="J170" s="14" t="s">
        <v>8</v>
      </c>
      <c r="K170" s="90">
        <v>5.9999999999999995E-4</v>
      </c>
      <c r="L170" s="68">
        <v>2043.2</v>
      </c>
      <c r="M170" s="68">
        <v>12259.199999999999</v>
      </c>
      <c r="N170" s="68" t="s">
        <v>638</v>
      </c>
      <c r="O170" s="367"/>
      <c r="P170" s="336">
        <f>M170*R170%</f>
        <v>1348.5119999999999</v>
      </c>
      <c r="Q170" s="336">
        <f t="shared" si="5"/>
        <v>1348.5119999999999</v>
      </c>
      <c r="R170" s="336">
        <v>11</v>
      </c>
      <c r="S170" s="308" t="s">
        <v>2557</v>
      </c>
      <c r="T170" s="91" t="s">
        <v>1752</v>
      </c>
      <c r="U170" s="62" t="s">
        <v>1713</v>
      </c>
    </row>
    <row r="171" spans="1:21" s="1367" customFormat="1" ht="93.75" x14ac:dyDescent="0.25">
      <c r="A171" s="8">
        <v>166</v>
      </c>
      <c r="B171" s="97" t="s">
        <v>2180</v>
      </c>
      <c r="C171" s="8">
        <v>3084514112</v>
      </c>
      <c r="D171" s="8" t="s">
        <v>640</v>
      </c>
      <c r="E171" s="14" t="s">
        <v>2181</v>
      </c>
      <c r="F171" s="62" t="s">
        <v>2182</v>
      </c>
      <c r="G171" s="14" t="s">
        <v>2183</v>
      </c>
      <c r="H171" s="65">
        <v>43535</v>
      </c>
      <c r="I171" s="65"/>
      <c r="J171" s="14" t="s">
        <v>8</v>
      </c>
      <c r="K171" s="90">
        <v>0.1976</v>
      </c>
      <c r="L171" s="68">
        <v>317.39</v>
      </c>
      <c r="M171" s="68">
        <v>627162.64</v>
      </c>
      <c r="N171" s="68" t="s">
        <v>2184</v>
      </c>
      <c r="O171" s="367"/>
      <c r="P171" s="336">
        <f>M171*R171%</f>
        <v>28222.318800000001</v>
      </c>
      <c r="Q171" s="336">
        <f t="shared" si="5"/>
        <v>28222.318800000001</v>
      </c>
      <c r="R171" s="336">
        <v>4.5</v>
      </c>
      <c r="S171" s="308" t="s">
        <v>2593</v>
      </c>
      <c r="T171" s="14" t="s">
        <v>1757</v>
      </c>
      <c r="U171" s="62" t="s">
        <v>1639</v>
      </c>
    </row>
    <row r="172" spans="1:21" s="1367" customFormat="1" ht="75" x14ac:dyDescent="0.25">
      <c r="A172" s="8">
        <v>167</v>
      </c>
      <c r="B172" s="97" t="s">
        <v>1950</v>
      </c>
      <c r="C172" s="8">
        <v>2062617372</v>
      </c>
      <c r="D172" s="16" t="s">
        <v>642</v>
      </c>
      <c r="E172" s="14" t="s">
        <v>1953</v>
      </c>
      <c r="F172" s="62" t="s">
        <v>1954</v>
      </c>
      <c r="G172" s="14" t="s">
        <v>1955</v>
      </c>
      <c r="H172" s="65" t="s">
        <v>1956</v>
      </c>
      <c r="I172" s="14" t="s">
        <v>3526</v>
      </c>
      <c r="J172" s="14" t="s">
        <v>8</v>
      </c>
      <c r="K172" s="90">
        <v>2.3999999999999998E-3</v>
      </c>
      <c r="L172" s="68">
        <f>M172/24</f>
        <v>426.56</v>
      </c>
      <c r="M172" s="68">
        <v>10237.44</v>
      </c>
      <c r="N172" s="8" t="s">
        <v>3361</v>
      </c>
      <c r="O172" s="367"/>
      <c r="P172" s="336">
        <f>M172*R172%</f>
        <v>1228.4928</v>
      </c>
      <c r="Q172" s="336">
        <f t="shared" si="5"/>
        <v>1228.4928</v>
      </c>
      <c r="R172" s="336">
        <v>12</v>
      </c>
      <c r="S172" s="308" t="s">
        <v>3257</v>
      </c>
      <c r="T172" s="1387" t="s">
        <v>1957</v>
      </c>
      <c r="U172" s="62" t="s">
        <v>1850</v>
      </c>
    </row>
    <row r="173" spans="1:21" s="1367" customFormat="1" ht="56.25" x14ac:dyDescent="0.25">
      <c r="A173" s="8">
        <v>168</v>
      </c>
      <c r="B173" s="103" t="s">
        <v>644</v>
      </c>
      <c r="C173" s="8">
        <v>2863213318</v>
      </c>
      <c r="D173" s="16" t="s">
        <v>646</v>
      </c>
      <c r="E173" s="14" t="s">
        <v>649</v>
      </c>
      <c r="F173" s="62" t="s">
        <v>650</v>
      </c>
      <c r="G173" s="14" t="s">
        <v>651</v>
      </c>
      <c r="H173" s="65" t="s">
        <v>652</v>
      </c>
      <c r="I173" s="14"/>
      <c r="J173" s="14" t="s">
        <v>8</v>
      </c>
      <c r="K173" s="90">
        <v>8.9999999999999993E-3</v>
      </c>
      <c r="L173" s="68">
        <v>1614.64</v>
      </c>
      <c r="M173" s="68">
        <v>145371.6</v>
      </c>
      <c r="N173" s="8" t="s">
        <v>653</v>
      </c>
      <c r="O173" s="367"/>
      <c r="P173" s="336">
        <f>Q173</f>
        <v>15118.6</v>
      </c>
      <c r="Q173" s="336">
        <v>15118.6</v>
      </c>
      <c r="R173" s="336">
        <v>10.4</v>
      </c>
      <c r="S173" s="308" t="s">
        <v>2574</v>
      </c>
      <c r="T173" s="1387" t="s">
        <v>1758</v>
      </c>
      <c r="U173" s="62" t="s">
        <v>1634</v>
      </c>
    </row>
    <row r="174" spans="1:21" s="1367" customFormat="1" ht="56.25" x14ac:dyDescent="0.25">
      <c r="A174" s="8">
        <v>169</v>
      </c>
      <c r="B174" s="103" t="s">
        <v>3894</v>
      </c>
      <c r="C174" s="8">
        <v>1742401943</v>
      </c>
      <c r="D174" s="16" t="s">
        <v>3895</v>
      </c>
      <c r="E174" s="14" t="s">
        <v>3896</v>
      </c>
      <c r="F174" s="62" t="s">
        <v>3897</v>
      </c>
      <c r="G174" s="14" t="s">
        <v>3898</v>
      </c>
      <c r="H174" s="65">
        <v>44103</v>
      </c>
      <c r="I174" s="14"/>
      <c r="J174" s="14" t="s">
        <v>8</v>
      </c>
      <c r="K174" s="90">
        <v>3.8300000000000001E-2</v>
      </c>
      <c r="L174" s="68">
        <f>M174/383</f>
        <v>265.61</v>
      </c>
      <c r="M174" s="68">
        <v>101728.63</v>
      </c>
      <c r="N174" s="8" t="s">
        <v>3899</v>
      </c>
      <c r="O174" s="367"/>
      <c r="P174" s="336">
        <f>M174*R174%</f>
        <v>508.64315000000005</v>
      </c>
      <c r="Q174" s="336">
        <v>130</v>
      </c>
      <c r="R174" s="336">
        <v>0.5</v>
      </c>
      <c r="S174" s="308">
        <v>47737</v>
      </c>
      <c r="T174" s="1387" t="s">
        <v>2378</v>
      </c>
      <c r="U174" s="62" t="s">
        <v>1824</v>
      </c>
    </row>
    <row r="175" spans="1:21" s="1367" customFormat="1" ht="56.25" x14ac:dyDescent="0.25">
      <c r="A175" s="8">
        <v>170</v>
      </c>
      <c r="B175" s="103" t="s">
        <v>662</v>
      </c>
      <c r="C175" s="8">
        <v>2656301721</v>
      </c>
      <c r="D175" s="16" t="s">
        <v>664</v>
      </c>
      <c r="E175" s="65" t="s">
        <v>666</v>
      </c>
      <c r="F175" s="62"/>
      <c r="G175" s="14" t="s">
        <v>667</v>
      </c>
      <c r="H175" s="65">
        <v>41691</v>
      </c>
      <c r="I175" s="65" t="s">
        <v>668</v>
      </c>
      <c r="J175" s="14" t="s">
        <v>8</v>
      </c>
      <c r="K175" s="90">
        <v>1.1999999999999999E-3</v>
      </c>
      <c r="L175" s="68">
        <v>2043.2</v>
      </c>
      <c r="M175" s="68">
        <v>24518.399999999998</v>
      </c>
      <c r="N175" s="8" t="s">
        <v>669</v>
      </c>
      <c r="O175" s="367"/>
      <c r="P175" s="336">
        <f>M175*R175%</f>
        <v>2697.0239999999999</v>
      </c>
      <c r="Q175" s="336">
        <f t="shared" ref="Q175:Q211" si="6">P175</f>
        <v>2697.0239999999999</v>
      </c>
      <c r="R175" s="336">
        <v>11</v>
      </c>
      <c r="S175" s="308">
        <v>43920</v>
      </c>
      <c r="T175" s="91" t="s">
        <v>1752</v>
      </c>
      <c r="U175" s="62" t="s">
        <v>1676</v>
      </c>
    </row>
    <row r="176" spans="1:21" s="1367" customFormat="1" ht="93.75" x14ac:dyDescent="0.25">
      <c r="A176" s="8">
        <v>171</v>
      </c>
      <c r="B176" s="103" t="s">
        <v>2369</v>
      </c>
      <c r="C176" s="8" t="s">
        <v>2371</v>
      </c>
      <c r="D176" s="16" t="s">
        <v>2372</v>
      </c>
      <c r="E176" s="65" t="s">
        <v>2375</v>
      </c>
      <c r="F176" s="62" t="s">
        <v>2349</v>
      </c>
      <c r="G176" s="14" t="s">
        <v>2376</v>
      </c>
      <c r="H176" s="65">
        <v>43605</v>
      </c>
      <c r="I176" s="65"/>
      <c r="J176" s="14" t="s">
        <v>8</v>
      </c>
      <c r="K176" s="90">
        <v>3.6700000000000003E-2</v>
      </c>
      <c r="L176" s="68">
        <f>M176/367</f>
        <v>256.66000000000003</v>
      </c>
      <c r="M176" s="68">
        <v>94194.22</v>
      </c>
      <c r="N176" s="8" t="s">
        <v>2377</v>
      </c>
      <c r="O176" s="367"/>
      <c r="P176" s="336">
        <f>M176*R176%</f>
        <v>470.97110000000004</v>
      </c>
      <c r="Q176" s="336">
        <f t="shared" si="6"/>
        <v>470.97110000000004</v>
      </c>
      <c r="R176" s="336">
        <v>0.5</v>
      </c>
      <c r="S176" s="308">
        <v>44648</v>
      </c>
      <c r="T176" s="94" t="s">
        <v>2378</v>
      </c>
      <c r="U176" s="62" t="s">
        <v>1824</v>
      </c>
    </row>
    <row r="177" spans="1:22" s="1367" customFormat="1" ht="75" x14ac:dyDescent="0.25">
      <c r="A177" s="8">
        <v>172</v>
      </c>
      <c r="B177" s="97" t="s">
        <v>2541</v>
      </c>
      <c r="C177" s="14">
        <v>1716710944</v>
      </c>
      <c r="D177" s="16" t="s">
        <v>679</v>
      </c>
      <c r="E177" s="14" t="s">
        <v>681</v>
      </c>
      <c r="F177" s="62" t="s">
        <v>1500</v>
      </c>
      <c r="G177" s="14" t="s">
        <v>682</v>
      </c>
      <c r="H177" s="65" t="s">
        <v>1500</v>
      </c>
      <c r="I177" s="14" t="s">
        <v>3326</v>
      </c>
      <c r="J177" s="14" t="s">
        <v>8</v>
      </c>
      <c r="K177" s="90">
        <v>0.26129999999999998</v>
      </c>
      <c r="L177" s="68">
        <v>369.36</v>
      </c>
      <c r="M177" s="68">
        <v>965137.67999999982</v>
      </c>
      <c r="N177" s="68" t="s">
        <v>683</v>
      </c>
      <c r="O177" s="367"/>
      <c r="P177" s="336">
        <f>M177*R177%</f>
        <v>77211.014399999985</v>
      </c>
      <c r="Q177" s="336">
        <f t="shared" si="6"/>
        <v>77211.014399999985</v>
      </c>
      <c r="R177" s="336">
        <v>8</v>
      </c>
      <c r="S177" s="308" t="s">
        <v>2542</v>
      </c>
      <c r="T177" s="94" t="s">
        <v>3327</v>
      </c>
      <c r="U177" s="62" t="s">
        <v>1679</v>
      </c>
    </row>
    <row r="178" spans="1:22" s="1367" customFormat="1" ht="93.75" x14ac:dyDescent="0.25">
      <c r="A178" s="8">
        <v>173</v>
      </c>
      <c r="B178" s="97" t="s">
        <v>3039</v>
      </c>
      <c r="C178" s="14">
        <v>3059321033</v>
      </c>
      <c r="D178" s="16" t="s">
        <v>3041</v>
      </c>
      <c r="E178" s="14" t="s">
        <v>3045</v>
      </c>
      <c r="F178" s="62" t="s">
        <v>3023</v>
      </c>
      <c r="G178" s="14" t="s">
        <v>3044</v>
      </c>
      <c r="H178" s="65">
        <v>43759</v>
      </c>
      <c r="I178" s="14"/>
      <c r="J178" s="14" t="s">
        <v>8</v>
      </c>
      <c r="K178" s="90">
        <v>0.1817</v>
      </c>
      <c r="L178" s="68">
        <f>M178/1817</f>
        <v>318.02</v>
      </c>
      <c r="M178" s="68">
        <v>577842.34</v>
      </c>
      <c r="N178" s="68" t="s">
        <v>3046</v>
      </c>
      <c r="O178" s="367">
        <v>19068.87</v>
      </c>
      <c r="P178" s="336">
        <v>19068.87</v>
      </c>
      <c r="Q178" s="336">
        <f t="shared" si="6"/>
        <v>19068.87</v>
      </c>
      <c r="R178" s="336">
        <f>P178*100/M178</f>
        <v>3.3000125951310526</v>
      </c>
      <c r="S178" s="308">
        <v>45566</v>
      </c>
      <c r="T178" s="94" t="s">
        <v>3047</v>
      </c>
      <c r="U178" s="62" t="s">
        <v>3048</v>
      </c>
      <c r="V178" s="384" t="s">
        <v>2379</v>
      </c>
    </row>
    <row r="179" spans="1:22" s="1367" customFormat="1" ht="93.75" x14ac:dyDescent="0.25">
      <c r="A179" s="8">
        <v>174</v>
      </c>
      <c r="B179" s="97" t="s">
        <v>3039</v>
      </c>
      <c r="C179" s="14">
        <v>3059321033</v>
      </c>
      <c r="D179" s="16" t="s">
        <v>3050</v>
      </c>
      <c r="E179" s="14" t="s">
        <v>3053</v>
      </c>
      <c r="F179" s="62" t="s">
        <v>3055</v>
      </c>
      <c r="G179" s="14" t="s">
        <v>3054</v>
      </c>
      <c r="H179" s="65" t="s">
        <v>3056</v>
      </c>
      <c r="I179" s="14"/>
      <c r="J179" s="14" t="s">
        <v>8</v>
      </c>
      <c r="K179" s="90">
        <v>0.7</v>
      </c>
      <c r="L179" s="68">
        <f>M179/7000</f>
        <v>311.72000000000003</v>
      </c>
      <c r="M179" s="68">
        <v>2182040</v>
      </c>
      <c r="N179" s="68" t="s">
        <v>3057</v>
      </c>
      <c r="O179" s="367">
        <v>66115.820000000007</v>
      </c>
      <c r="P179" s="336">
        <v>66115.820000000007</v>
      </c>
      <c r="Q179" s="336">
        <f t="shared" si="6"/>
        <v>66115.820000000007</v>
      </c>
      <c r="R179" s="336">
        <v>3.0449999999999999</v>
      </c>
      <c r="S179" s="308">
        <v>45555</v>
      </c>
      <c r="T179" s="94" t="s">
        <v>3058</v>
      </c>
      <c r="U179" s="62" t="s">
        <v>1710</v>
      </c>
      <c r="V179" s="384" t="s">
        <v>3049</v>
      </c>
    </row>
    <row r="180" spans="1:22" s="1367" customFormat="1" ht="93.75" x14ac:dyDescent="0.25">
      <c r="A180" s="8">
        <v>175</v>
      </c>
      <c r="B180" s="97" t="s">
        <v>2272</v>
      </c>
      <c r="C180" s="14" t="s">
        <v>2271</v>
      </c>
      <c r="D180" s="16" t="s">
        <v>3429</v>
      </c>
      <c r="E180" s="14" t="s">
        <v>3903</v>
      </c>
      <c r="F180" s="62" t="s">
        <v>3900</v>
      </c>
      <c r="G180" s="14" t="s">
        <v>3901</v>
      </c>
      <c r="H180" s="65">
        <v>44470</v>
      </c>
      <c r="I180" s="14"/>
      <c r="J180" s="14" t="s">
        <v>8</v>
      </c>
      <c r="K180" s="90">
        <v>4.8500000000000001E-2</v>
      </c>
      <c r="L180" s="68">
        <f>M180/485</f>
        <v>504.37</v>
      </c>
      <c r="M180" s="68">
        <v>244619.45</v>
      </c>
      <c r="N180" s="68" t="s">
        <v>3902</v>
      </c>
      <c r="O180" s="367"/>
      <c r="P180" s="336">
        <f>M180*R180%</f>
        <v>366.92917500000004</v>
      </c>
      <c r="Q180" s="336">
        <f t="shared" si="6"/>
        <v>366.92917500000004</v>
      </c>
      <c r="R180" s="336">
        <v>0.15</v>
      </c>
      <c r="S180" s="308">
        <v>44443</v>
      </c>
      <c r="T180" s="94" t="s">
        <v>3904</v>
      </c>
      <c r="U180" s="62" t="s">
        <v>2475</v>
      </c>
    </row>
    <row r="181" spans="1:22" s="1367" customFormat="1" ht="93.75" x14ac:dyDescent="0.25">
      <c r="A181" s="8">
        <v>176</v>
      </c>
      <c r="B181" s="97" t="s">
        <v>3609</v>
      </c>
      <c r="C181" s="14">
        <v>3049327910</v>
      </c>
      <c r="D181" s="16" t="s">
        <v>3610</v>
      </c>
      <c r="E181" s="14" t="s">
        <v>3611</v>
      </c>
      <c r="F181" s="62" t="s">
        <v>3534</v>
      </c>
      <c r="G181" s="14" t="s">
        <v>3612</v>
      </c>
      <c r="H181" s="65">
        <v>43969</v>
      </c>
      <c r="I181" s="14"/>
      <c r="J181" s="14" t="s">
        <v>8</v>
      </c>
      <c r="K181" s="90">
        <v>6.5299999999999997E-2</v>
      </c>
      <c r="L181" s="68">
        <f>M181/653</f>
        <v>219.74</v>
      </c>
      <c r="M181" s="68">
        <v>143490.22</v>
      </c>
      <c r="N181" s="68" t="s">
        <v>3613</v>
      </c>
      <c r="O181" s="367"/>
      <c r="P181" s="336">
        <f>M181*R181%</f>
        <v>11479.2176</v>
      </c>
      <c r="Q181" s="336">
        <v>7128.11</v>
      </c>
      <c r="R181" s="336">
        <v>8</v>
      </c>
      <c r="S181" s="308">
        <v>44805</v>
      </c>
      <c r="T181" s="94" t="s">
        <v>3614</v>
      </c>
      <c r="U181" s="62" t="s">
        <v>1632</v>
      </c>
    </row>
    <row r="182" spans="1:22" s="1367" customFormat="1" ht="56.25" x14ac:dyDescent="0.25">
      <c r="A182" s="8">
        <v>177</v>
      </c>
      <c r="B182" s="97" t="s">
        <v>2794</v>
      </c>
      <c r="C182" s="8">
        <v>2034602807</v>
      </c>
      <c r="D182" s="8" t="s">
        <v>684</v>
      </c>
      <c r="E182" s="62" t="s">
        <v>2822</v>
      </c>
      <c r="F182" s="62"/>
      <c r="G182" s="62" t="s">
        <v>1502</v>
      </c>
      <c r="H182" s="65" t="s">
        <v>1501</v>
      </c>
      <c r="I182" s="62"/>
      <c r="J182" s="14" t="s">
        <v>8</v>
      </c>
      <c r="K182" s="90">
        <v>5.3699999999999998E-2</v>
      </c>
      <c r="L182" s="68">
        <v>473.03</v>
      </c>
      <c r="M182" s="68">
        <v>254017.11</v>
      </c>
      <c r="N182" s="68"/>
      <c r="O182" s="367"/>
      <c r="P182" s="336">
        <f>M182*R182%</f>
        <v>136.40718806999999</v>
      </c>
      <c r="Q182" s="336">
        <f t="shared" si="6"/>
        <v>136.40718806999999</v>
      </c>
      <c r="R182" s="336">
        <v>5.3699999999999998E-2</v>
      </c>
      <c r="S182" s="308">
        <v>43086</v>
      </c>
      <c r="T182" s="91" t="s">
        <v>1761</v>
      </c>
      <c r="U182" s="62"/>
    </row>
    <row r="183" spans="1:22" s="1367" customFormat="1" ht="56.25" x14ac:dyDescent="0.25">
      <c r="A183" s="8">
        <v>178</v>
      </c>
      <c r="B183" s="97" t="s">
        <v>686</v>
      </c>
      <c r="C183" s="8">
        <v>2641512468</v>
      </c>
      <c r="D183" s="8" t="s">
        <v>688</v>
      </c>
      <c r="E183" s="62" t="s">
        <v>691</v>
      </c>
      <c r="F183" s="62" t="s">
        <v>692</v>
      </c>
      <c r="G183" s="62" t="s">
        <v>693</v>
      </c>
      <c r="H183" s="65" t="s">
        <v>694</v>
      </c>
      <c r="I183" s="62"/>
      <c r="J183" s="14" t="s">
        <v>8</v>
      </c>
      <c r="K183" s="90">
        <v>6.4000000000000003E-3</v>
      </c>
      <c r="L183" s="68">
        <v>826.52</v>
      </c>
      <c r="M183" s="68">
        <v>52897.279999999999</v>
      </c>
      <c r="N183" s="68" t="s">
        <v>695</v>
      </c>
      <c r="O183" s="367"/>
      <c r="P183" s="336">
        <v>5977.42</v>
      </c>
      <c r="Q183" s="336">
        <f t="shared" si="6"/>
        <v>5977.42</v>
      </c>
      <c r="R183" s="336">
        <v>11.3</v>
      </c>
      <c r="S183" s="308" t="s">
        <v>2911</v>
      </c>
      <c r="T183" s="91" t="s">
        <v>1762</v>
      </c>
      <c r="U183" s="62" t="s">
        <v>1634</v>
      </c>
    </row>
    <row r="184" spans="1:22" s="1367" customFormat="1" ht="56.25" x14ac:dyDescent="0.25">
      <c r="A184" s="8">
        <v>179</v>
      </c>
      <c r="B184" s="97" t="s">
        <v>2758</v>
      </c>
      <c r="C184" s="8">
        <v>2037301794</v>
      </c>
      <c r="D184" s="8" t="s">
        <v>2760</v>
      </c>
      <c r="E184" s="62" t="s">
        <v>2763</v>
      </c>
      <c r="F184" s="62" t="s">
        <v>2754</v>
      </c>
      <c r="G184" s="62" t="s">
        <v>2764</v>
      </c>
      <c r="H184" s="65" t="s">
        <v>2765</v>
      </c>
      <c r="I184" s="62"/>
      <c r="J184" s="14" t="s">
        <v>8</v>
      </c>
      <c r="K184" s="90">
        <v>1.8E-3</v>
      </c>
      <c r="L184" s="68">
        <f>M184/18</f>
        <v>1329.64</v>
      </c>
      <c r="M184" s="68">
        <v>23933.52</v>
      </c>
      <c r="N184" s="68" t="s">
        <v>2766</v>
      </c>
      <c r="O184" s="367">
        <v>3003.82</v>
      </c>
      <c r="P184" s="336">
        <v>3003.82</v>
      </c>
      <c r="Q184" s="336">
        <f t="shared" si="6"/>
        <v>3003.82</v>
      </c>
      <c r="R184" s="336">
        <v>12.551</v>
      </c>
      <c r="S184" s="308">
        <v>45513</v>
      </c>
      <c r="T184" s="91" t="s">
        <v>1762</v>
      </c>
      <c r="U184" s="62" t="s">
        <v>1634</v>
      </c>
    </row>
    <row r="185" spans="1:22" s="1367" customFormat="1" ht="37.5" x14ac:dyDescent="0.25">
      <c r="A185" s="8">
        <v>180</v>
      </c>
      <c r="B185" s="97" t="s">
        <v>702</v>
      </c>
      <c r="C185" s="8">
        <v>2936301102</v>
      </c>
      <c r="D185" s="8" t="s">
        <v>704</v>
      </c>
      <c r="E185" s="62" t="s">
        <v>706</v>
      </c>
      <c r="F185" s="62" t="s">
        <v>2771</v>
      </c>
      <c r="G185" s="62" t="s">
        <v>707</v>
      </c>
      <c r="H185" s="65" t="s">
        <v>1504</v>
      </c>
      <c r="I185" s="62"/>
      <c r="J185" s="14" t="s">
        <v>8</v>
      </c>
      <c r="K185" s="90">
        <v>1.1999999999999999E-3</v>
      </c>
      <c r="L185" s="68">
        <v>2043.2</v>
      </c>
      <c r="M185" s="68">
        <v>24518.400000000001</v>
      </c>
      <c r="N185" s="68" t="s">
        <v>708</v>
      </c>
      <c r="O185" s="367"/>
      <c r="P185" s="336">
        <f>M185*R185%</f>
        <v>2697.0240000000003</v>
      </c>
      <c r="Q185" s="336">
        <f t="shared" si="6"/>
        <v>2697.0240000000003</v>
      </c>
      <c r="R185" s="336">
        <v>11</v>
      </c>
      <c r="S185" s="308" t="s">
        <v>2546</v>
      </c>
      <c r="T185" s="91" t="s">
        <v>1752</v>
      </c>
      <c r="U185" s="62" t="s">
        <v>1634</v>
      </c>
    </row>
    <row r="186" spans="1:22" s="1367" customFormat="1" ht="37.5" x14ac:dyDescent="0.25">
      <c r="A186" s="8">
        <v>181</v>
      </c>
      <c r="B186" s="97" t="s">
        <v>3649</v>
      </c>
      <c r="C186" s="8">
        <v>2161602414</v>
      </c>
      <c r="D186" s="8" t="s">
        <v>2292</v>
      </c>
      <c r="E186" s="62" t="s">
        <v>2295</v>
      </c>
      <c r="F186" s="62" t="s">
        <v>2296</v>
      </c>
      <c r="G186" s="62" t="s">
        <v>2297</v>
      </c>
      <c r="H186" s="65">
        <v>43567</v>
      </c>
      <c r="I186" s="62"/>
      <c r="J186" s="14" t="s">
        <v>8</v>
      </c>
      <c r="K186" s="90">
        <v>9.3399999999999997E-2</v>
      </c>
      <c r="L186" s="68">
        <f>M186/934</f>
        <v>2078.11</v>
      </c>
      <c r="M186" s="68">
        <v>1940954.74</v>
      </c>
      <c r="N186" s="68" t="s">
        <v>2298</v>
      </c>
      <c r="O186" s="367">
        <v>26688.13</v>
      </c>
      <c r="P186" s="336">
        <v>26688.13</v>
      </c>
      <c r="Q186" s="336">
        <f t="shared" si="6"/>
        <v>26688.13</v>
      </c>
      <c r="R186" s="336">
        <v>1.375</v>
      </c>
      <c r="S186" s="308" t="s">
        <v>2503</v>
      </c>
      <c r="T186" s="91" t="s">
        <v>2299</v>
      </c>
      <c r="U186" s="62" t="s">
        <v>1634</v>
      </c>
    </row>
    <row r="187" spans="1:22" s="1367" customFormat="1" ht="56.25" x14ac:dyDescent="0.25">
      <c r="A187" s="8">
        <v>182</v>
      </c>
      <c r="B187" s="97" t="s">
        <v>3666</v>
      </c>
      <c r="C187" s="8">
        <v>2118572296</v>
      </c>
      <c r="D187" s="8" t="s">
        <v>3667</v>
      </c>
      <c r="E187" s="62" t="s">
        <v>3668</v>
      </c>
      <c r="F187" s="62" t="s">
        <v>3669</v>
      </c>
      <c r="G187" s="62" t="s">
        <v>3670</v>
      </c>
      <c r="H187" s="65">
        <v>43993</v>
      </c>
      <c r="I187" s="62"/>
      <c r="J187" s="14" t="s">
        <v>8</v>
      </c>
      <c r="K187" s="90">
        <v>1.4E-2</v>
      </c>
      <c r="L187" s="68">
        <f>M187/140</f>
        <v>598.25</v>
      </c>
      <c r="M187" s="68">
        <v>83755</v>
      </c>
      <c r="N187" s="68" t="s">
        <v>3671</v>
      </c>
      <c r="O187" s="367">
        <v>9925.7999999999993</v>
      </c>
      <c r="P187" s="336">
        <v>9925.7999999999993</v>
      </c>
      <c r="Q187" s="336">
        <v>5514.33</v>
      </c>
      <c r="R187" s="1438">
        <v>11.851000000000001</v>
      </c>
      <c r="S187" s="308">
        <v>45802</v>
      </c>
      <c r="T187" s="91" t="s">
        <v>2477</v>
      </c>
      <c r="U187" s="62" t="s">
        <v>1713</v>
      </c>
    </row>
    <row r="188" spans="1:22" s="1367" customFormat="1" ht="56.25" x14ac:dyDescent="0.25">
      <c r="A188" s="8">
        <v>183</v>
      </c>
      <c r="B188" s="97" t="s">
        <v>2073</v>
      </c>
      <c r="C188" s="8">
        <v>2689921307</v>
      </c>
      <c r="D188" s="8" t="s">
        <v>709</v>
      </c>
      <c r="E188" s="62" t="s">
        <v>2339</v>
      </c>
      <c r="F188" s="62"/>
      <c r="G188" s="62" t="s">
        <v>2341</v>
      </c>
      <c r="H188" s="65" t="s">
        <v>710</v>
      </c>
      <c r="I188" s="62" t="s">
        <v>2329</v>
      </c>
      <c r="J188" s="15" t="s">
        <v>8</v>
      </c>
      <c r="K188" s="90">
        <v>2.3E-3</v>
      </c>
      <c r="L188" s="68">
        <v>2043.2</v>
      </c>
      <c r="M188" s="68">
        <f>L188*23</f>
        <v>46993.599999999999</v>
      </c>
      <c r="N188" s="8" t="s">
        <v>2075</v>
      </c>
      <c r="O188" s="367"/>
      <c r="P188" s="336">
        <f>M188*R188%</f>
        <v>5169.2960000000003</v>
      </c>
      <c r="Q188" s="336">
        <f t="shared" si="6"/>
        <v>5169.2960000000003</v>
      </c>
      <c r="R188" s="336">
        <v>11</v>
      </c>
      <c r="S188" s="308" t="s">
        <v>2547</v>
      </c>
      <c r="T188" s="91" t="s">
        <v>1752</v>
      </c>
      <c r="U188" s="62" t="s">
        <v>1634</v>
      </c>
    </row>
    <row r="189" spans="1:22" s="1367" customFormat="1" ht="56.25" x14ac:dyDescent="0.25">
      <c r="A189" s="8">
        <v>184</v>
      </c>
      <c r="B189" s="97" t="s">
        <v>2073</v>
      </c>
      <c r="C189" s="8">
        <v>2689921307</v>
      </c>
      <c r="D189" s="16" t="s">
        <v>1333</v>
      </c>
      <c r="E189" s="93" t="s">
        <v>2139</v>
      </c>
      <c r="F189" s="81" t="s">
        <v>2140</v>
      </c>
      <c r="G189" s="93" t="s">
        <v>2141</v>
      </c>
      <c r="H189" s="93" t="s">
        <v>2142</v>
      </c>
      <c r="I189" s="93"/>
      <c r="J189" s="14" t="s">
        <v>8</v>
      </c>
      <c r="K189" s="90">
        <v>1.15E-2</v>
      </c>
      <c r="L189" s="68">
        <v>655.47</v>
      </c>
      <c r="M189" s="68">
        <v>75379.05</v>
      </c>
      <c r="N189" s="68" t="s">
        <v>2143</v>
      </c>
      <c r="O189" s="367"/>
      <c r="P189" s="336">
        <f>M189*R189%</f>
        <v>7537.9050000000007</v>
      </c>
      <c r="Q189" s="336">
        <f t="shared" si="6"/>
        <v>7537.9050000000007</v>
      </c>
      <c r="R189" s="336">
        <v>10</v>
      </c>
      <c r="S189" s="308" t="s">
        <v>2548</v>
      </c>
      <c r="T189" s="89" t="s">
        <v>2144</v>
      </c>
      <c r="U189" s="62" t="s">
        <v>1713</v>
      </c>
    </row>
    <row r="190" spans="1:22" s="1367" customFormat="1" ht="131.25" x14ac:dyDescent="0.25">
      <c r="A190" s="8">
        <v>185</v>
      </c>
      <c r="B190" s="97" t="s">
        <v>2073</v>
      </c>
      <c r="C190" s="8">
        <v>2689921307</v>
      </c>
      <c r="D190" s="16" t="s">
        <v>2628</v>
      </c>
      <c r="E190" s="93" t="s">
        <v>2632</v>
      </c>
      <c r="F190" s="81" t="s">
        <v>2633</v>
      </c>
      <c r="G190" s="93" t="s">
        <v>2631</v>
      </c>
      <c r="H190" s="93">
        <v>43671</v>
      </c>
      <c r="I190" s="93"/>
      <c r="J190" s="14" t="s">
        <v>8</v>
      </c>
      <c r="K190" s="66">
        <v>0.92</v>
      </c>
      <c r="L190" s="70">
        <f>M190/9200</f>
        <v>487.91</v>
      </c>
      <c r="M190" s="68">
        <v>4488772</v>
      </c>
      <c r="N190" s="68" t="s">
        <v>2634</v>
      </c>
      <c r="O190" s="367"/>
      <c r="P190" s="336">
        <v>58073.5</v>
      </c>
      <c r="Q190" s="336">
        <f t="shared" si="6"/>
        <v>58073.5</v>
      </c>
      <c r="R190" s="336">
        <f>P190*100/M190</f>
        <v>1.2937502729031458</v>
      </c>
      <c r="S190" s="308">
        <v>45483</v>
      </c>
      <c r="T190" s="89" t="s">
        <v>2635</v>
      </c>
      <c r="U190" s="62" t="s">
        <v>1713</v>
      </c>
    </row>
    <row r="191" spans="1:22" s="1367" customFormat="1" ht="56.25" x14ac:dyDescent="0.25">
      <c r="A191" s="8">
        <v>186</v>
      </c>
      <c r="B191" s="103" t="s">
        <v>3531</v>
      </c>
      <c r="C191" s="14">
        <v>3179915062</v>
      </c>
      <c r="D191" s="16" t="s">
        <v>1245</v>
      </c>
      <c r="E191" s="68" t="s">
        <v>3533</v>
      </c>
      <c r="F191" s="62" t="s">
        <v>3534</v>
      </c>
      <c r="G191" s="14" t="s">
        <v>3535</v>
      </c>
      <c r="H191" s="92">
        <v>43879</v>
      </c>
      <c r="I191" s="85"/>
      <c r="J191" s="14" t="s">
        <v>8</v>
      </c>
      <c r="K191" s="90">
        <v>2.2599999999999999E-2</v>
      </c>
      <c r="L191" s="68">
        <v>1755.72</v>
      </c>
      <c r="M191" s="68">
        <v>396792.72</v>
      </c>
      <c r="N191" s="105" t="s">
        <v>1249</v>
      </c>
      <c r="O191" s="367"/>
      <c r="P191" s="336">
        <f>M191*R191%</f>
        <v>11903.781599999998</v>
      </c>
      <c r="Q191" s="336">
        <v>10330.27</v>
      </c>
      <c r="R191" s="336">
        <v>3</v>
      </c>
      <c r="S191" s="308">
        <v>44886</v>
      </c>
      <c r="T191" s="94" t="s">
        <v>1830</v>
      </c>
      <c r="U191" s="395" t="s">
        <v>1634</v>
      </c>
      <c r="V191" s="1461"/>
    </row>
    <row r="192" spans="1:22" s="1367" customFormat="1" ht="56.25" x14ac:dyDescent="0.25">
      <c r="A192" s="8">
        <v>187</v>
      </c>
      <c r="B192" s="103" t="s">
        <v>714</v>
      </c>
      <c r="C192" s="8">
        <v>3470611516</v>
      </c>
      <c r="D192" s="16" t="s">
        <v>716</v>
      </c>
      <c r="E192" s="92" t="s">
        <v>719</v>
      </c>
      <c r="F192" s="86" t="s">
        <v>1505</v>
      </c>
      <c r="G192" s="92" t="s">
        <v>720</v>
      </c>
      <c r="H192" s="92" t="s">
        <v>721</v>
      </c>
      <c r="I192" s="92"/>
      <c r="J192" s="15" t="s">
        <v>8</v>
      </c>
      <c r="K192" s="1389">
        <v>3.9E-2</v>
      </c>
      <c r="L192" s="67">
        <f>M192/390</f>
        <v>470.10999999999996</v>
      </c>
      <c r="M192" s="68">
        <v>183342.9</v>
      </c>
      <c r="N192" s="68" t="s">
        <v>722</v>
      </c>
      <c r="O192" s="367"/>
      <c r="P192" s="336">
        <v>16060.89</v>
      </c>
      <c r="Q192" s="336">
        <f t="shared" si="6"/>
        <v>16060.89</v>
      </c>
      <c r="R192" s="336">
        <v>8.76</v>
      </c>
      <c r="S192" s="308">
        <v>45197</v>
      </c>
      <c r="T192" s="91" t="s">
        <v>1765</v>
      </c>
      <c r="U192" s="62" t="s">
        <v>1634</v>
      </c>
      <c r="V192" s="384" t="s">
        <v>2022</v>
      </c>
    </row>
    <row r="193" spans="1:22" s="1367" customFormat="1" ht="56.25" x14ac:dyDescent="0.25">
      <c r="A193" s="8">
        <v>188</v>
      </c>
      <c r="B193" s="103" t="s">
        <v>3206</v>
      </c>
      <c r="C193" s="14">
        <v>2643701999</v>
      </c>
      <c r="D193" s="16" t="s">
        <v>3208</v>
      </c>
      <c r="E193" s="85" t="s">
        <v>3211</v>
      </c>
      <c r="F193" s="86" t="s">
        <v>2419</v>
      </c>
      <c r="G193" s="85" t="s">
        <v>3212</v>
      </c>
      <c r="H193" s="92" t="s">
        <v>3213</v>
      </c>
      <c r="I193" s="85"/>
      <c r="J193" s="14" t="s">
        <v>8</v>
      </c>
      <c r="K193" s="1389">
        <v>1.78E-2</v>
      </c>
      <c r="L193" s="67">
        <v>1595.5700000000002</v>
      </c>
      <c r="M193" s="68">
        <v>284011.46000000002</v>
      </c>
      <c r="N193" s="68" t="s">
        <v>3214</v>
      </c>
      <c r="O193" s="367">
        <v>8818.5400000000009</v>
      </c>
      <c r="P193" s="336">
        <v>8818.5400000000009</v>
      </c>
      <c r="Q193" s="336">
        <f t="shared" si="6"/>
        <v>8818.5400000000009</v>
      </c>
      <c r="R193" s="336">
        <v>3.105</v>
      </c>
      <c r="S193" s="308">
        <v>45441</v>
      </c>
      <c r="T193" s="91" t="s">
        <v>3215</v>
      </c>
      <c r="U193" s="62" t="s">
        <v>1679</v>
      </c>
    </row>
    <row r="194" spans="1:22" s="1367" customFormat="1" ht="37.5" x14ac:dyDescent="0.25">
      <c r="A194" s="8">
        <v>189</v>
      </c>
      <c r="B194" s="103" t="s">
        <v>724</v>
      </c>
      <c r="C194" s="8">
        <v>2678708764</v>
      </c>
      <c r="D194" s="16" t="s">
        <v>726</v>
      </c>
      <c r="E194" s="92" t="s">
        <v>729</v>
      </c>
      <c r="F194" s="86" t="s">
        <v>1506</v>
      </c>
      <c r="G194" s="92" t="s">
        <v>730</v>
      </c>
      <c r="H194" s="92" t="s">
        <v>1507</v>
      </c>
      <c r="I194" s="92"/>
      <c r="J194" s="15" t="s">
        <v>8</v>
      </c>
      <c r="K194" s="1389">
        <v>6.7999999999999996E-3</v>
      </c>
      <c r="L194" s="67">
        <v>862.45</v>
      </c>
      <c r="M194" s="68">
        <v>58646.600000000006</v>
      </c>
      <c r="N194" s="68" t="s">
        <v>731</v>
      </c>
      <c r="O194" s="367">
        <v>6835.27</v>
      </c>
      <c r="P194" s="336">
        <v>6835.27</v>
      </c>
      <c r="Q194" s="336">
        <f t="shared" si="6"/>
        <v>6835.27</v>
      </c>
      <c r="R194" s="336">
        <v>11.654999999999999</v>
      </c>
      <c r="S194" s="308" t="s">
        <v>2594</v>
      </c>
      <c r="T194" s="91" t="s">
        <v>1759</v>
      </c>
      <c r="U194" s="62" t="s">
        <v>1634</v>
      </c>
      <c r="V194" s="384" t="s">
        <v>3129</v>
      </c>
    </row>
    <row r="195" spans="1:22" s="1367" customFormat="1" ht="56.25" x14ac:dyDescent="0.25">
      <c r="A195" s="8">
        <v>190</v>
      </c>
      <c r="B195" s="103" t="s">
        <v>3366</v>
      </c>
      <c r="C195" s="8">
        <v>3092315137</v>
      </c>
      <c r="D195" s="16" t="s">
        <v>3368</v>
      </c>
      <c r="E195" s="92" t="s">
        <v>3371</v>
      </c>
      <c r="F195" s="86" t="s">
        <v>3372</v>
      </c>
      <c r="G195" s="92" t="s">
        <v>3373</v>
      </c>
      <c r="H195" s="92">
        <v>43560</v>
      </c>
      <c r="I195" s="92"/>
      <c r="J195" s="15" t="s">
        <v>8</v>
      </c>
      <c r="K195" s="1389">
        <v>0.32829999999999998</v>
      </c>
      <c r="L195" s="67">
        <v>369.35999999999996</v>
      </c>
      <c r="M195" s="68">
        <v>1212608.8799999999</v>
      </c>
      <c r="N195" s="68" t="s">
        <v>3374</v>
      </c>
      <c r="O195" s="367">
        <v>38197.17</v>
      </c>
      <c r="P195" s="336">
        <v>38197.17</v>
      </c>
      <c r="Q195" s="336">
        <f t="shared" si="6"/>
        <v>38197.17</v>
      </c>
      <c r="R195" s="336">
        <v>3.15</v>
      </c>
      <c r="S195" s="308" t="s">
        <v>2595</v>
      </c>
      <c r="T195" s="1390" t="s">
        <v>3375</v>
      </c>
      <c r="U195" s="178" t="s">
        <v>1634</v>
      </c>
    </row>
    <row r="196" spans="1:22" s="1367" customFormat="1" ht="37.5" x14ac:dyDescent="0.25">
      <c r="A196" s="8">
        <v>191</v>
      </c>
      <c r="B196" s="103" t="s">
        <v>2795</v>
      </c>
      <c r="C196" s="8" t="s">
        <v>1509</v>
      </c>
      <c r="D196" s="16" t="s">
        <v>732</v>
      </c>
      <c r="E196" s="92" t="s">
        <v>2826</v>
      </c>
      <c r="F196" s="86"/>
      <c r="G196" s="92" t="s">
        <v>2825</v>
      </c>
      <c r="H196" s="92" t="s">
        <v>734</v>
      </c>
      <c r="I196" s="92"/>
      <c r="J196" s="15" t="s">
        <v>8</v>
      </c>
      <c r="K196" s="1389">
        <v>2.5000000000000001E-3</v>
      </c>
      <c r="L196" s="67">
        <v>291.31</v>
      </c>
      <c r="M196" s="68">
        <v>7282.75</v>
      </c>
      <c r="N196" s="68"/>
      <c r="O196" s="367"/>
      <c r="P196" s="336">
        <f>M196*R196%</f>
        <v>36.41375</v>
      </c>
      <c r="Q196" s="336">
        <f t="shared" si="6"/>
        <v>36.41375</v>
      </c>
      <c r="R196" s="336">
        <v>0.5</v>
      </c>
      <c r="S196" s="308" t="s">
        <v>2597</v>
      </c>
      <c r="T196" s="91" t="s">
        <v>1741</v>
      </c>
      <c r="U196" s="62"/>
    </row>
    <row r="197" spans="1:22" s="1367" customFormat="1" ht="56.25" x14ac:dyDescent="0.25">
      <c r="A197" s="8">
        <v>192</v>
      </c>
      <c r="B197" s="103" t="s">
        <v>3778</v>
      </c>
      <c r="C197" s="8">
        <v>3004318776</v>
      </c>
      <c r="D197" s="16" t="s">
        <v>656</v>
      </c>
      <c r="E197" s="92" t="s">
        <v>3779</v>
      </c>
      <c r="F197" s="86" t="s">
        <v>3770</v>
      </c>
      <c r="G197" s="92" t="s">
        <v>3780</v>
      </c>
      <c r="H197" s="92">
        <v>44062</v>
      </c>
      <c r="I197" s="92"/>
      <c r="J197" s="15" t="s">
        <v>8</v>
      </c>
      <c r="K197" s="1389">
        <v>4.0800000000000003E-2</v>
      </c>
      <c r="L197" s="67">
        <v>650.26</v>
      </c>
      <c r="M197" s="68">
        <v>265306.08</v>
      </c>
      <c r="N197" s="68" t="s">
        <v>661</v>
      </c>
      <c r="O197" s="367"/>
      <c r="P197" s="336">
        <v>21222.49</v>
      </c>
      <c r="Q197" s="336">
        <v>7816.56</v>
      </c>
      <c r="R197" s="336">
        <v>8</v>
      </c>
      <c r="S197" s="308">
        <v>45131</v>
      </c>
      <c r="T197" s="94" t="s">
        <v>3375</v>
      </c>
      <c r="U197" s="1388" t="s">
        <v>1634</v>
      </c>
    </row>
    <row r="198" spans="1:22" s="1458" customFormat="1" ht="81.75" customHeight="1" x14ac:dyDescent="0.3">
      <c r="A198" s="8">
        <v>193</v>
      </c>
      <c r="B198" s="1419" t="s">
        <v>3725</v>
      </c>
      <c r="C198" s="8">
        <v>3220222626</v>
      </c>
      <c r="D198" s="16" t="s">
        <v>3726</v>
      </c>
      <c r="E198" s="92" t="s">
        <v>3727</v>
      </c>
      <c r="F198" s="86" t="s">
        <v>3728</v>
      </c>
      <c r="G198" s="92" t="s">
        <v>3729</v>
      </c>
      <c r="H198" s="92">
        <v>44018</v>
      </c>
      <c r="I198" s="92"/>
      <c r="J198" s="15" t="s">
        <v>8</v>
      </c>
      <c r="K198" s="1389">
        <v>1.2598</v>
      </c>
      <c r="L198" s="67">
        <f>M198/12598</f>
        <v>219.02</v>
      </c>
      <c r="M198" s="68">
        <v>2759213.96</v>
      </c>
      <c r="N198" s="68" t="s">
        <v>3730</v>
      </c>
      <c r="O198" s="367">
        <v>28971.74</v>
      </c>
      <c r="P198" s="1416">
        <v>28971.74</v>
      </c>
      <c r="Q198" s="1416">
        <v>14096.46</v>
      </c>
      <c r="R198" s="1416">
        <v>1.05</v>
      </c>
      <c r="S198" s="65">
        <v>45832</v>
      </c>
      <c r="T198" s="94" t="s">
        <v>3731</v>
      </c>
      <c r="U198" s="1388" t="s">
        <v>1641</v>
      </c>
    </row>
    <row r="199" spans="1:22" s="1367" customFormat="1" ht="56.25" x14ac:dyDescent="0.25">
      <c r="A199" s="8">
        <v>194</v>
      </c>
      <c r="B199" s="103" t="s">
        <v>3510</v>
      </c>
      <c r="C199" s="8">
        <v>2420512732</v>
      </c>
      <c r="D199" s="16" t="s">
        <v>3512</v>
      </c>
      <c r="E199" s="92" t="s">
        <v>3515</v>
      </c>
      <c r="F199" s="86" t="s">
        <v>3516</v>
      </c>
      <c r="G199" s="92" t="s">
        <v>3517</v>
      </c>
      <c r="H199" s="92">
        <v>43893</v>
      </c>
      <c r="I199" s="92"/>
      <c r="J199" s="15" t="s">
        <v>8</v>
      </c>
      <c r="K199" s="1389">
        <v>5.1000000000000004E-3</v>
      </c>
      <c r="L199" s="67">
        <f>M199/51</f>
        <v>1215.67</v>
      </c>
      <c r="M199" s="68">
        <v>61999.17</v>
      </c>
      <c r="N199" s="68" t="s">
        <v>3518</v>
      </c>
      <c r="O199" s="367">
        <v>7036.92</v>
      </c>
      <c r="P199" s="336">
        <v>7036.92</v>
      </c>
      <c r="Q199" s="336">
        <v>5826.27</v>
      </c>
      <c r="R199" s="336">
        <f>P199*100/M199</f>
        <v>11.350022911597042</v>
      </c>
      <c r="S199" s="308">
        <v>45709</v>
      </c>
      <c r="T199" s="94" t="s">
        <v>3519</v>
      </c>
      <c r="U199" s="1388" t="s">
        <v>1634</v>
      </c>
    </row>
    <row r="200" spans="1:22" s="1367" customFormat="1" ht="93.75" x14ac:dyDescent="0.25">
      <c r="A200" s="8">
        <v>195</v>
      </c>
      <c r="B200" s="393" t="s">
        <v>735</v>
      </c>
      <c r="C200" s="8">
        <v>2335016430</v>
      </c>
      <c r="D200" s="16" t="s">
        <v>737</v>
      </c>
      <c r="E200" s="14" t="s">
        <v>740</v>
      </c>
      <c r="F200" s="62" t="s">
        <v>741</v>
      </c>
      <c r="G200" s="14" t="s">
        <v>742</v>
      </c>
      <c r="H200" s="65" t="s">
        <v>743</v>
      </c>
      <c r="I200" s="14"/>
      <c r="J200" s="15" t="s">
        <v>8</v>
      </c>
      <c r="K200" s="1391">
        <v>7.4999999999999997E-2</v>
      </c>
      <c r="L200" s="1369">
        <v>229.79</v>
      </c>
      <c r="M200" s="68">
        <v>172342.5</v>
      </c>
      <c r="N200" s="15" t="s">
        <v>744</v>
      </c>
      <c r="O200" s="367"/>
      <c r="P200" s="336">
        <f>M200*R200%</f>
        <v>861.71249999999998</v>
      </c>
      <c r="Q200" s="336">
        <f t="shared" si="6"/>
        <v>861.71249999999998</v>
      </c>
      <c r="R200" s="336">
        <v>0.5</v>
      </c>
      <c r="S200" s="308" t="s">
        <v>2550</v>
      </c>
      <c r="T200" s="1387" t="s">
        <v>1767</v>
      </c>
      <c r="U200" s="1388" t="s">
        <v>1768</v>
      </c>
    </row>
    <row r="201" spans="1:22" s="1367" customFormat="1" ht="75" x14ac:dyDescent="0.25">
      <c r="A201" s="8">
        <v>196</v>
      </c>
      <c r="B201" s="103" t="s">
        <v>745</v>
      </c>
      <c r="C201" s="8" t="s">
        <v>1510</v>
      </c>
      <c r="D201" s="16" t="s">
        <v>1974</v>
      </c>
      <c r="E201" s="63" t="s">
        <v>1975</v>
      </c>
      <c r="F201" s="81" t="s">
        <v>1976</v>
      </c>
      <c r="G201" s="63" t="s">
        <v>1977</v>
      </c>
      <c r="H201" s="93" t="s">
        <v>1978</v>
      </c>
      <c r="I201" s="63" t="s">
        <v>3389</v>
      </c>
      <c r="J201" s="14" t="s">
        <v>8</v>
      </c>
      <c r="K201" s="1383">
        <v>6.0999999999999999E-2</v>
      </c>
      <c r="L201" s="1369">
        <v>364.15</v>
      </c>
      <c r="M201" s="68">
        <v>222131.5</v>
      </c>
      <c r="N201" s="68" t="s">
        <v>1979</v>
      </c>
      <c r="O201" s="367"/>
      <c r="P201" s="336">
        <f>M201*R201%</f>
        <v>22213.15</v>
      </c>
      <c r="Q201" s="336">
        <f t="shared" si="6"/>
        <v>22213.15</v>
      </c>
      <c r="R201" s="336">
        <v>10</v>
      </c>
      <c r="S201" s="308">
        <v>44886</v>
      </c>
      <c r="T201" s="1387" t="s">
        <v>3520</v>
      </c>
      <c r="U201" s="62" t="s">
        <v>1634</v>
      </c>
    </row>
    <row r="202" spans="1:22" s="1367" customFormat="1" ht="56.25" x14ac:dyDescent="0.25">
      <c r="A202" s="8">
        <v>197</v>
      </c>
      <c r="B202" s="103" t="s">
        <v>2402</v>
      </c>
      <c r="C202" s="8" t="s">
        <v>1511</v>
      </c>
      <c r="D202" s="16" t="s">
        <v>749</v>
      </c>
      <c r="E202" s="93" t="s">
        <v>2327</v>
      </c>
      <c r="F202" s="81" t="s">
        <v>1477</v>
      </c>
      <c r="G202" s="93" t="s">
        <v>2328</v>
      </c>
      <c r="H202" s="93" t="s">
        <v>750</v>
      </c>
      <c r="I202" s="93">
        <v>43707</v>
      </c>
      <c r="J202" s="14" t="s">
        <v>8</v>
      </c>
      <c r="K202" s="90">
        <v>3.8E-3</v>
      </c>
      <c r="L202" s="68">
        <v>853.16</v>
      </c>
      <c r="M202" s="68">
        <v>32420.079999999998</v>
      </c>
      <c r="N202" s="68" t="s">
        <v>2478</v>
      </c>
      <c r="O202" s="367"/>
      <c r="P202" s="336">
        <f>M202*R202%</f>
        <v>3566.2087999999999</v>
      </c>
      <c r="Q202" s="336">
        <f t="shared" si="6"/>
        <v>3566.2087999999999</v>
      </c>
      <c r="R202" s="336">
        <v>11</v>
      </c>
      <c r="S202" s="308">
        <v>44739</v>
      </c>
      <c r="T202" s="1387" t="s">
        <v>1752</v>
      </c>
      <c r="U202" s="62" t="s">
        <v>1634</v>
      </c>
      <c r="V202" s="384"/>
    </row>
    <row r="203" spans="1:22" s="1367" customFormat="1" ht="56.25" x14ac:dyDescent="0.25">
      <c r="A203" s="8">
        <v>198</v>
      </c>
      <c r="B203" s="103" t="s">
        <v>751</v>
      </c>
      <c r="C203" s="8">
        <v>2649422073</v>
      </c>
      <c r="D203" s="16" t="s">
        <v>753</v>
      </c>
      <c r="E203" s="93" t="s">
        <v>755</v>
      </c>
      <c r="F203" s="81" t="s">
        <v>756</v>
      </c>
      <c r="G203" s="93" t="s">
        <v>757</v>
      </c>
      <c r="H203" s="93" t="s">
        <v>758</v>
      </c>
      <c r="I203" s="93">
        <v>43245</v>
      </c>
      <c r="J203" s="14" t="s">
        <v>8</v>
      </c>
      <c r="K203" s="90" t="s">
        <v>1512</v>
      </c>
      <c r="L203" s="68">
        <v>1975.09</v>
      </c>
      <c r="M203" s="68">
        <v>23701.079999999994</v>
      </c>
      <c r="N203" s="68" t="s">
        <v>759</v>
      </c>
      <c r="O203" s="367"/>
      <c r="P203" s="336">
        <f>M203*R203%</f>
        <v>2607.1187999999993</v>
      </c>
      <c r="Q203" s="336">
        <f t="shared" si="6"/>
        <v>2607.1187999999993</v>
      </c>
      <c r="R203" s="336">
        <v>11</v>
      </c>
      <c r="S203" s="308" t="s">
        <v>2551</v>
      </c>
      <c r="T203" s="65" t="s">
        <v>1752</v>
      </c>
      <c r="U203" s="62" t="s">
        <v>1713</v>
      </c>
      <c r="V203" s="1462"/>
    </row>
    <row r="204" spans="1:22" s="1367" customFormat="1" ht="56.25" x14ac:dyDescent="0.25">
      <c r="A204" s="8">
        <v>199</v>
      </c>
      <c r="B204" s="103" t="s">
        <v>2796</v>
      </c>
      <c r="C204" s="14" t="s">
        <v>1513</v>
      </c>
      <c r="D204" s="16" t="s">
        <v>760</v>
      </c>
      <c r="E204" s="93" t="s">
        <v>2853</v>
      </c>
      <c r="F204" s="81"/>
      <c r="G204" s="93" t="s">
        <v>2852</v>
      </c>
      <c r="H204" s="93" t="s">
        <v>761</v>
      </c>
      <c r="I204" s="1456"/>
      <c r="J204" s="14" t="s">
        <v>8</v>
      </c>
      <c r="K204" s="90">
        <v>4.0000000000000001E-3</v>
      </c>
      <c r="L204" s="68">
        <v>854.08</v>
      </c>
      <c r="M204" s="68">
        <v>34163.200000000004</v>
      </c>
      <c r="N204" s="68"/>
      <c r="O204" s="1392"/>
      <c r="P204" s="336">
        <f>M204*R204%</f>
        <v>4099.5840000000007</v>
      </c>
      <c r="Q204" s="336">
        <f t="shared" si="6"/>
        <v>4099.5840000000007</v>
      </c>
      <c r="R204" s="336">
        <v>12</v>
      </c>
      <c r="S204" s="308">
        <v>43199</v>
      </c>
      <c r="T204" s="69" t="s">
        <v>1769</v>
      </c>
      <c r="U204" s="62"/>
      <c r="V204" s="1456"/>
    </row>
    <row r="205" spans="1:22" s="1367" customFormat="1" ht="112.5" customHeight="1" x14ac:dyDescent="0.25">
      <c r="A205" s="8">
        <v>200</v>
      </c>
      <c r="B205" s="97" t="s">
        <v>762</v>
      </c>
      <c r="C205" s="14" t="s">
        <v>1514</v>
      </c>
      <c r="D205" s="16" t="s">
        <v>764</v>
      </c>
      <c r="E205" s="62" t="s">
        <v>2427</v>
      </c>
      <c r="F205" s="178" t="s">
        <v>1936</v>
      </c>
      <c r="G205" s="178" t="s">
        <v>2428</v>
      </c>
      <c r="H205" s="1393">
        <v>42074</v>
      </c>
      <c r="I205" s="1382" t="s">
        <v>3293</v>
      </c>
      <c r="J205" s="177" t="s">
        <v>8</v>
      </c>
      <c r="K205" s="66" t="s">
        <v>1515</v>
      </c>
      <c r="L205" s="67">
        <v>1889.22</v>
      </c>
      <c r="M205" s="68">
        <v>1398022.8</v>
      </c>
      <c r="N205" s="68" t="s">
        <v>2380</v>
      </c>
      <c r="O205" s="367"/>
      <c r="P205" s="336">
        <f>M205*R205%</f>
        <v>41940.684000000001</v>
      </c>
      <c r="Q205" s="336">
        <f t="shared" si="6"/>
        <v>41940.684000000001</v>
      </c>
      <c r="R205" s="336">
        <v>3</v>
      </c>
      <c r="S205" s="308">
        <v>52922</v>
      </c>
      <c r="T205" s="91" t="s">
        <v>1770</v>
      </c>
      <c r="U205" s="62" t="s">
        <v>1634</v>
      </c>
      <c r="V205" s="384">
        <v>992070262</v>
      </c>
    </row>
    <row r="206" spans="1:22" s="1367" customFormat="1" ht="93.75" x14ac:dyDescent="0.25">
      <c r="A206" s="8">
        <v>201</v>
      </c>
      <c r="B206" s="97" t="s">
        <v>762</v>
      </c>
      <c r="C206" s="62" t="s">
        <v>1514</v>
      </c>
      <c r="D206" s="16" t="s">
        <v>765</v>
      </c>
      <c r="E206" s="14" t="s">
        <v>767</v>
      </c>
      <c r="F206" s="62" t="s">
        <v>756</v>
      </c>
      <c r="G206" s="14" t="s">
        <v>768</v>
      </c>
      <c r="H206" s="65" t="s">
        <v>769</v>
      </c>
      <c r="I206" s="14" t="s">
        <v>3294</v>
      </c>
      <c r="J206" s="14" t="s">
        <v>8</v>
      </c>
      <c r="K206" s="90">
        <v>4.7E-2</v>
      </c>
      <c r="L206" s="68">
        <v>1889.18</v>
      </c>
      <c r="M206" s="68">
        <v>887914.6</v>
      </c>
      <c r="N206" s="68" t="s">
        <v>771</v>
      </c>
      <c r="O206" s="367"/>
      <c r="P206" s="336">
        <f>M206*R206%</f>
        <v>39956.156999999999</v>
      </c>
      <c r="Q206" s="336">
        <f t="shared" si="6"/>
        <v>39956.156999999999</v>
      </c>
      <c r="R206" s="336">
        <v>4.5</v>
      </c>
      <c r="S206" s="308">
        <v>52922</v>
      </c>
      <c r="T206" s="91" t="s">
        <v>1771</v>
      </c>
      <c r="U206" s="62" t="s">
        <v>1713</v>
      </c>
      <c r="V206" s="384"/>
    </row>
    <row r="207" spans="1:22" s="1367" customFormat="1" ht="75" x14ac:dyDescent="0.25">
      <c r="A207" s="8">
        <v>202</v>
      </c>
      <c r="B207" s="97" t="s">
        <v>762</v>
      </c>
      <c r="C207" s="62" t="s">
        <v>1514</v>
      </c>
      <c r="D207" s="8" t="s">
        <v>772</v>
      </c>
      <c r="E207" s="1394" t="s">
        <v>774</v>
      </c>
      <c r="F207" s="1395" t="s">
        <v>1516</v>
      </c>
      <c r="G207" s="1394" t="s">
        <v>775</v>
      </c>
      <c r="H207" s="1396" t="s">
        <v>776</v>
      </c>
      <c r="I207" s="1394" t="s">
        <v>3291</v>
      </c>
      <c r="J207" s="14" t="s">
        <v>8</v>
      </c>
      <c r="K207" s="90">
        <v>6.4000000000000003E-3</v>
      </c>
      <c r="L207" s="68">
        <f>M207/64</f>
        <v>528.98</v>
      </c>
      <c r="M207" s="68">
        <v>33854.720000000001</v>
      </c>
      <c r="N207" s="68" t="s">
        <v>3292</v>
      </c>
      <c r="O207" s="367"/>
      <c r="P207" s="336">
        <f>M207*R207%</f>
        <v>3724.0192000000002</v>
      </c>
      <c r="Q207" s="336">
        <f t="shared" si="6"/>
        <v>3724.0192000000002</v>
      </c>
      <c r="R207" s="336">
        <v>11</v>
      </c>
      <c r="S207" s="308">
        <v>52922</v>
      </c>
      <c r="T207" s="91" t="s">
        <v>1772</v>
      </c>
      <c r="U207" s="62" t="s">
        <v>1676</v>
      </c>
    </row>
    <row r="208" spans="1:22" s="1367" customFormat="1" ht="56.25" x14ac:dyDescent="0.25">
      <c r="A208" s="8">
        <v>203</v>
      </c>
      <c r="B208" s="103" t="s">
        <v>3081</v>
      </c>
      <c r="C208" s="62" t="s">
        <v>2343</v>
      </c>
      <c r="D208" s="8" t="s">
        <v>2344</v>
      </c>
      <c r="E208" s="1394" t="s">
        <v>2348</v>
      </c>
      <c r="F208" s="1395" t="s">
        <v>2349</v>
      </c>
      <c r="G208" s="1394" t="s">
        <v>2347</v>
      </c>
      <c r="H208" s="1396" t="s">
        <v>2350</v>
      </c>
      <c r="I208" s="1394"/>
      <c r="J208" s="14" t="s">
        <v>8</v>
      </c>
      <c r="K208" s="90">
        <v>0.31919999999999998</v>
      </c>
      <c r="L208" s="68">
        <f>M208/3192</f>
        <v>826.52</v>
      </c>
      <c r="M208" s="68">
        <v>2638251.84</v>
      </c>
      <c r="N208" s="68" t="s">
        <v>2351</v>
      </c>
      <c r="O208" s="367">
        <v>34132.379999999997</v>
      </c>
      <c r="P208" s="336">
        <v>34132.379999999997</v>
      </c>
      <c r="Q208" s="336">
        <f t="shared" si="6"/>
        <v>34132.379999999997</v>
      </c>
      <c r="R208" s="336">
        <v>1.294</v>
      </c>
      <c r="S208" s="308" t="s">
        <v>2552</v>
      </c>
      <c r="T208" s="91" t="s">
        <v>2352</v>
      </c>
      <c r="U208" s="62" t="s">
        <v>1634</v>
      </c>
      <c r="V208" s="384"/>
    </row>
    <row r="209" spans="1:22" s="1367" customFormat="1" ht="56.25" x14ac:dyDescent="0.25">
      <c r="A209" s="8">
        <v>204</v>
      </c>
      <c r="B209" s="103" t="s">
        <v>3081</v>
      </c>
      <c r="C209" s="62" t="s">
        <v>2343</v>
      </c>
      <c r="D209" s="16" t="s">
        <v>3082</v>
      </c>
      <c r="E209" s="1394" t="s">
        <v>3085</v>
      </c>
      <c r="F209" s="1395" t="s">
        <v>3055</v>
      </c>
      <c r="G209" s="1394" t="s">
        <v>3086</v>
      </c>
      <c r="H209" s="1396">
        <v>43742</v>
      </c>
      <c r="I209" s="1394"/>
      <c r="J209" s="14" t="s">
        <v>8</v>
      </c>
      <c r="K209" s="90">
        <v>3.1E-2</v>
      </c>
      <c r="L209" s="68">
        <f>M209/310</f>
        <v>546.23</v>
      </c>
      <c r="M209" s="68">
        <v>169331.3</v>
      </c>
      <c r="N209" s="68" t="s">
        <v>3087</v>
      </c>
      <c r="O209" s="367">
        <v>6197.54</v>
      </c>
      <c r="P209" s="336">
        <v>6197.54</v>
      </c>
      <c r="Q209" s="336">
        <f t="shared" si="6"/>
        <v>6197.54</v>
      </c>
      <c r="R209" s="336">
        <v>3.66</v>
      </c>
      <c r="S209" s="308">
        <v>45555</v>
      </c>
      <c r="T209" s="91" t="s">
        <v>2352</v>
      </c>
      <c r="U209" s="62" t="s">
        <v>1634</v>
      </c>
      <c r="V209" s="384"/>
    </row>
    <row r="210" spans="1:22" s="1367" customFormat="1" ht="75" x14ac:dyDescent="0.25">
      <c r="A210" s="8">
        <v>205</v>
      </c>
      <c r="B210" s="103" t="s">
        <v>2797</v>
      </c>
      <c r="C210" s="8" t="s">
        <v>1517</v>
      </c>
      <c r="D210" s="16" t="s">
        <v>778</v>
      </c>
      <c r="E210" s="85" t="s">
        <v>780</v>
      </c>
      <c r="F210" s="86" t="s">
        <v>1516</v>
      </c>
      <c r="G210" s="85" t="s">
        <v>781</v>
      </c>
      <c r="H210" s="92" t="s">
        <v>776</v>
      </c>
      <c r="I210" s="85" t="s">
        <v>3291</v>
      </c>
      <c r="J210" s="14" t="s">
        <v>8</v>
      </c>
      <c r="K210" s="90">
        <v>1.2200000000000001E-2</v>
      </c>
      <c r="L210" s="68">
        <f>M210/122</f>
        <v>528.98</v>
      </c>
      <c r="M210" s="68">
        <v>64535.56</v>
      </c>
      <c r="N210" s="14" t="s">
        <v>3289</v>
      </c>
      <c r="O210" s="367"/>
      <c r="P210" s="336">
        <f>M210*R210%</f>
        <v>5162.8447999999999</v>
      </c>
      <c r="Q210" s="336">
        <f t="shared" si="6"/>
        <v>5162.8447999999999</v>
      </c>
      <c r="R210" s="336">
        <v>8</v>
      </c>
      <c r="S210" s="308" t="s">
        <v>3290</v>
      </c>
      <c r="T210" s="91" t="s">
        <v>1773</v>
      </c>
      <c r="U210" s="62" t="s">
        <v>1676</v>
      </c>
      <c r="V210" s="384"/>
    </row>
    <row r="211" spans="1:22" s="1367" customFormat="1" ht="37.5" x14ac:dyDescent="0.25">
      <c r="A211" s="8">
        <v>206</v>
      </c>
      <c r="B211" s="97" t="s">
        <v>2798</v>
      </c>
      <c r="C211" s="8" t="s">
        <v>1518</v>
      </c>
      <c r="D211" s="16" t="s">
        <v>782</v>
      </c>
      <c r="E211" s="14" t="s">
        <v>784</v>
      </c>
      <c r="F211" s="62"/>
      <c r="G211" s="14">
        <v>51</v>
      </c>
      <c r="H211" s="65" t="s">
        <v>784</v>
      </c>
      <c r="I211" s="14"/>
      <c r="J211" s="14" t="s">
        <v>8</v>
      </c>
      <c r="K211" s="90">
        <v>3.39E-2</v>
      </c>
      <c r="L211" s="68"/>
      <c r="M211" s="68">
        <v>0</v>
      </c>
      <c r="N211" s="8"/>
      <c r="O211" s="367"/>
      <c r="P211" s="336">
        <f>M211*R211%</f>
        <v>0</v>
      </c>
      <c r="Q211" s="336">
        <f t="shared" si="6"/>
        <v>0</v>
      </c>
      <c r="R211" s="336">
        <v>0.5</v>
      </c>
      <c r="S211" s="308">
        <v>57245</v>
      </c>
      <c r="T211" s="65" t="s">
        <v>1774</v>
      </c>
      <c r="U211" s="62"/>
    </row>
    <row r="212" spans="1:22" s="1367" customFormat="1" ht="75" x14ac:dyDescent="0.25">
      <c r="A212" s="8">
        <v>207</v>
      </c>
      <c r="B212" s="103" t="s">
        <v>1853</v>
      </c>
      <c r="C212" s="8">
        <v>258610712</v>
      </c>
      <c r="D212" s="16" t="s">
        <v>785</v>
      </c>
      <c r="E212" s="14" t="s">
        <v>2689</v>
      </c>
      <c r="F212" s="62" t="s">
        <v>2693</v>
      </c>
      <c r="G212" s="14" t="s">
        <v>2690</v>
      </c>
      <c r="H212" s="65">
        <v>42552</v>
      </c>
      <c r="I212" s="14" t="s">
        <v>2915</v>
      </c>
      <c r="J212" s="14" t="s">
        <v>8</v>
      </c>
      <c r="K212" s="90">
        <v>0.435</v>
      </c>
      <c r="L212" s="68">
        <f>M212/4350</f>
        <v>457.79</v>
      </c>
      <c r="M212" s="68">
        <v>1991386.5</v>
      </c>
      <c r="N212" s="8" t="s">
        <v>2691</v>
      </c>
      <c r="O212" s="367"/>
      <c r="P212" s="336">
        <v>25693.48</v>
      </c>
      <c r="Q212" s="336">
        <v>25693.48</v>
      </c>
      <c r="R212" s="336">
        <v>1.05</v>
      </c>
      <c r="S212" s="308">
        <v>44648</v>
      </c>
      <c r="T212" s="91" t="s">
        <v>1775</v>
      </c>
      <c r="U212" s="62" t="s">
        <v>1634</v>
      </c>
    </row>
    <row r="213" spans="1:22" s="1367" customFormat="1" ht="56.25" x14ac:dyDescent="0.25">
      <c r="A213" s="8">
        <v>208</v>
      </c>
      <c r="B213" s="103" t="s">
        <v>1944</v>
      </c>
      <c r="C213" s="8">
        <v>1981202309</v>
      </c>
      <c r="D213" s="16" t="s">
        <v>787</v>
      </c>
      <c r="E213" s="63" t="s">
        <v>1964</v>
      </c>
      <c r="F213" s="81" t="s">
        <v>1965</v>
      </c>
      <c r="G213" s="63" t="s">
        <v>1966</v>
      </c>
      <c r="H213" s="93" t="s">
        <v>1967</v>
      </c>
      <c r="I213" s="63"/>
      <c r="J213" s="14" t="s">
        <v>8</v>
      </c>
      <c r="K213" s="90">
        <v>3.0000000000000001E-3</v>
      </c>
      <c r="L213" s="68">
        <v>931.19</v>
      </c>
      <c r="M213" s="68">
        <v>27935.7</v>
      </c>
      <c r="N213" s="68" t="s">
        <v>1963</v>
      </c>
      <c r="O213" s="367"/>
      <c r="P213" s="336">
        <f>M213*R213%</f>
        <v>3072.9270000000001</v>
      </c>
      <c r="Q213" s="336">
        <f t="shared" ref="Q213:Q218" si="7">P213</f>
        <v>3072.9270000000001</v>
      </c>
      <c r="R213" s="336">
        <v>11</v>
      </c>
      <c r="S213" s="308" t="s">
        <v>3420</v>
      </c>
      <c r="T213" s="1387" t="s">
        <v>1752</v>
      </c>
      <c r="U213" s="62" t="s">
        <v>1634</v>
      </c>
      <c r="V213" s="384"/>
    </row>
    <row r="214" spans="1:22" s="1367" customFormat="1" ht="37.5" x14ac:dyDescent="0.25">
      <c r="A214" s="8">
        <v>209</v>
      </c>
      <c r="B214" s="103" t="s">
        <v>2399</v>
      </c>
      <c r="C214" s="14">
        <v>2612806165</v>
      </c>
      <c r="D214" s="16" t="s">
        <v>790</v>
      </c>
      <c r="E214" s="93" t="s">
        <v>1875</v>
      </c>
      <c r="F214" s="81" t="s">
        <v>1467</v>
      </c>
      <c r="G214" s="93">
        <v>43159</v>
      </c>
      <c r="H214" s="93"/>
      <c r="I214" s="93" t="s">
        <v>1858</v>
      </c>
      <c r="J214" s="14" t="s">
        <v>8</v>
      </c>
      <c r="K214" s="90">
        <v>1.2200000000000001E-2</v>
      </c>
      <c r="L214" s="68">
        <v>931.19</v>
      </c>
      <c r="M214" s="68">
        <v>113605.18</v>
      </c>
      <c r="N214" s="68" t="s">
        <v>793</v>
      </c>
      <c r="O214" s="367"/>
      <c r="P214" s="336">
        <f>M214*R214%</f>
        <v>11360.518</v>
      </c>
      <c r="Q214" s="336">
        <f t="shared" si="7"/>
        <v>11360.518</v>
      </c>
      <c r="R214" s="336">
        <v>10</v>
      </c>
      <c r="S214" s="308" t="s">
        <v>2592</v>
      </c>
      <c r="T214" s="1387" t="s">
        <v>1776</v>
      </c>
      <c r="U214" s="62" t="s">
        <v>1713</v>
      </c>
    </row>
    <row r="215" spans="1:22" s="1367" customFormat="1" ht="56.25" x14ac:dyDescent="0.25">
      <c r="A215" s="8">
        <v>210</v>
      </c>
      <c r="B215" s="103" t="s">
        <v>2399</v>
      </c>
      <c r="C215" s="14">
        <v>2612806165</v>
      </c>
      <c r="D215" s="16" t="s">
        <v>794</v>
      </c>
      <c r="E215" s="93" t="s">
        <v>2828</v>
      </c>
      <c r="F215" s="81"/>
      <c r="G215" s="63" t="s">
        <v>2827</v>
      </c>
      <c r="H215" s="93">
        <v>41575</v>
      </c>
      <c r="I215" s="63"/>
      <c r="J215" s="14" t="s">
        <v>8</v>
      </c>
      <c r="K215" s="90">
        <v>3.5000000000000001E-3</v>
      </c>
      <c r="L215" s="68">
        <f>M215/35</f>
        <v>655.47</v>
      </c>
      <c r="M215" s="68">
        <v>22941.45</v>
      </c>
      <c r="N215" s="68" t="s">
        <v>3424</v>
      </c>
      <c r="O215" s="367"/>
      <c r="P215" s="336">
        <f>M215*R215%</f>
        <v>2523.5595000000003</v>
      </c>
      <c r="Q215" s="336">
        <f t="shared" si="7"/>
        <v>2523.5595000000003</v>
      </c>
      <c r="R215" s="336">
        <v>11</v>
      </c>
      <c r="S215" s="308">
        <v>44089</v>
      </c>
      <c r="T215" s="1387" t="s">
        <v>1643</v>
      </c>
      <c r="U215" s="62" t="s">
        <v>1713</v>
      </c>
    </row>
    <row r="216" spans="1:22" s="1367" customFormat="1" ht="75" x14ac:dyDescent="0.25">
      <c r="A216" s="8">
        <v>211</v>
      </c>
      <c r="B216" s="103" t="s">
        <v>2399</v>
      </c>
      <c r="C216" s="14">
        <v>2612806165</v>
      </c>
      <c r="D216" s="16" t="s">
        <v>795</v>
      </c>
      <c r="E216" s="14" t="s">
        <v>2400</v>
      </c>
      <c r="F216" s="62" t="s">
        <v>3396</v>
      </c>
      <c r="G216" s="14" t="s">
        <v>2401</v>
      </c>
      <c r="H216" s="65">
        <v>41927</v>
      </c>
      <c r="I216" s="14" t="s">
        <v>3398</v>
      </c>
      <c r="J216" s="14" t="s">
        <v>8</v>
      </c>
      <c r="K216" s="87">
        <v>1.6199999999999999E-2</v>
      </c>
      <c r="L216" s="88">
        <v>525.41999999999996</v>
      </c>
      <c r="M216" s="68">
        <v>85118.04</v>
      </c>
      <c r="N216" s="68" t="s">
        <v>3397</v>
      </c>
      <c r="O216" s="367"/>
      <c r="P216" s="336">
        <f>M216*R216%</f>
        <v>8086.2137999999995</v>
      </c>
      <c r="Q216" s="336">
        <f t="shared" si="7"/>
        <v>8086.2137999999995</v>
      </c>
      <c r="R216" s="336">
        <v>9.5</v>
      </c>
      <c r="S216" s="1439">
        <v>44739</v>
      </c>
      <c r="T216" s="91" t="s">
        <v>1777</v>
      </c>
      <c r="U216" s="62" t="s">
        <v>1634</v>
      </c>
      <c r="V216" s="384"/>
    </row>
    <row r="217" spans="1:22" s="1367" customFormat="1" ht="37.5" x14ac:dyDescent="0.25">
      <c r="A217" s="8">
        <v>212</v>
      </c>
      <c r="B217" s="103" t="s">
        <v>1986</v>
      </c>
      <c r="C217" s="8">
        <v>2428101833</v>
      </c>
      <c r="D217" s="16" t="s">
        <v>797</v>
      </c>
      <c r="E217" s="14" t="s">
        <v>800</v>
      </c>
      <c r="F217" s="62" t="s">
        <v>1520</v>
      </c>
      <c r="G217" s="14" t="s">
        <v>801</v>
      </c>
      <c r="H217" s="65" t="s">
        <v>1521</v>
      </c>
      <c r="I217" s="14"/>
      <c r="J217" s="14" t="s">
        <v>8</v>
      </c>
      <c r="K217" s="87">
        <v>0.06</v>
      </c>
      <c r="L217" s="88">
        <v>184.57</v>
      </c>
      <c r="M217" s="68">
        <v>110742</v>
      </c>
      <c r="N217" s="68" t="s">
        <v>1987</v>
      </c>
      <c r="O217" s="367"/>
      <c r="P217" s="336">
        <v>10024.98</v>
      </c>
      <c r="Q217" s="336">
        <f t="shared" si="7"/>
        <v>10024.98</v>
      </c>
      <c r="R217" s="336">
        <v>9.0530000000000008</v>
      </c>
      <c r="S217" s="308" t="s">
        <v>2598</v>
      </c>
      <c r="T217" s="93" t="s">
        <v>1778</v>
      </c>
      <c r="U217" s="62" t="s">
        <v>1779</v>
      </c>
      <c r="V217" s="384"/>
    </row>
    <row r="218" spans="1:22" s="1367" customFormat="1" ht="56.25" x14ac:dyDescent="0.25">
      <c r="A218" s="8">
        <v>213</v>
      </c>
      <c r="B218" s="103" t="s">
        <v>802</v>
      </c>
      <c r="C218" s="8">
        <v>2785220333</v>
      </c>
      <c r="D218" s="16" t="s">
        <v>137</v>
      </c>
      <c r="E218" s="62" t="s">
        <v>805</v>
      </c>
      <c r="F218" s="62" t="s">
        <v>806</v>
      </c>
      <c r="G218" s="62" t="s">
        <v>807</v>
      </c>
      <c r="H218" s="65" t="s">
        <v>806</v>
      </c>
      <c r="I218" s="62" t="s">
        <v>808</v>
      </c>
      <c r="J218" s="14" t="s">
        <v>8</v>
      </c>
      <c r="K218" s="90">
        <v>2E-3</v>
      </c>
      <c r="L218" s="68">
        <v>2258.81</v>
      </c>
      <c r="M218" s="68">
        <v>45176.2</v>
      </c>
      <c r="N218" s="68" t="s">
        <v>809</v>
      </c>
      <c r="O218" s="367"/>
      <c r="P218" s="336">
        <f>M218*R218%</f>
        <v>2710.5719999999997</v>
      </c>
      <c r="Q218" s="336">
        <f t="shared" si="7"/>
        <v>2710.5719999999997</v>
      </c>
      <c r="R218" s="336">
        <v>6</v>
      </c>
      <c r="S218" s="308">
        <v>43399</v>
      </c>
      <c r="T218" s="50" t="s">
        <v>1780</v>
      </c>
      <c r="U218" s="62" t="s">
        <v>1634</v>
      </c>
      <c r="V218" s="384"/>
    </row>
    <row r="219" spans="1:22" s="1367" customFormat="1" ht="56.25" x14ac:dyDescent="0.25">
      <c r="A219" s="8">
        <v>214</v>
      </c>
      <c r="B219" s="103" t="s">
        <v>3914</v>
      </c>
      <c r="C219" s="8">
        <v>2296214166</v>
      </c>
      <c r="D219" s="16" t="s">
        <v>812</v>
      </c>
      <c r="E219" s="62" t="s">
        <v>815</v>
      </c>
      <c r="F219" s="62" t="s">
        <v>1522</v>
      </c>
      <c r="G219" s="62" t="s">
        <v>816</v>
      </c>
      <c r="H219" s="65" t="s">
        <v>245</v>
      </c>
      <c r="I219" s="62"/>
      <c r="J219" s="14" t="s">
        <v>8</v>
      </c>
      <c r="K219" s="90">
        <v>3.1199999999999999E-2</v>
      </c>
      <c r="L219" s="68">
        <v>1906.98</v>
      </c>
      <c r="M219" s="68">
        <v>594977.76</v>
      </c>
      <c r="N219" s="68" t="s">
        <v>817</v>
      </c>
      <c r="O219" s="367"/>
      <c r="P219" s="336">
        <v>53103.08</v>
      </c>
      <c r="Q219" s="1448">
        <v>53103.08</v>
      </c>
      <c r="R219" s="336">
        <v>8.9250000000000007</v>
      </c>
      <c r="S219" s="308">
        <v>45223</v>
      </c>
      <c r="T219" s="50" t="s">
        <v>1781</v>
      </c>
      <c r="U219" s="62" t="s">
        <v>1634</v>
      </c>
      <c r="V219" s="384"/>
    </row>
    <row r="220" spans="1:22" s="1367" customFormat="1" ht="56.25" x14ac:dyDescent="0.25">
      <c r="A220" s="8">
        <v>215</v>
      </c>
      <c r="B220" s="103" t="s">
        <v>3914</v>
      </c>
      <c r="C220" s="8">
        <v>2296214166</v>
      </c>
      <c r="D220" s="16" t="s">
        <v>818</v>
      </c>
      <c r="E220" s="62" t="s">
        <v>820</v>
      </c>
      <c r="F220" s="62" t="s">
        <v>1522</v>
      </c>
      <c r="G220" s="62" t="s">
        <v>821</v>
      </c>
      <c r="H220" s="65" t="s">
        <v>245</v>
      </c>
      <c r="I220" s="62"/>
      <c r="J220" s="14" t="s">
        <v>8</v>
      </c>
      <c r="K220" s="90">
        <v>6.1999999999999998E-3</v>
      </c>
      <c r="L220" s="68">
        <v>1906.98</v>
      </c>
      <c r="M220" s="68">
        <v>118232.76</v>
      </c>
      <c r="N220" s="68" t="s">
        <v>822</v>
      </c>
      <c r="O220" s="367"/>
      <c r="P220" s="336">
        <v>19094.79</v>
      </c>
      <c r="Q220" s="336">
        <f t="shared" ref="Q220:Q229" si="8">P220</f>
        <v>19094.79</v>
      </c>
      <c r="R220" s="336">
        <v>16.149999999999999</v>
      </c>
      <c r="S220" s="308" t="s">
        <v>2599</v>
      </c>
      <c r="T220" s="50" t="s">
        <v>1781</v>
      </c>
      <c r="U220" s="62" t="s">
        <v>1634</v>
      </c>
    </row>
    <row r="221" spans="1:22" s="1367" customFormat="1" ht="56.25" x14ac:dyDescent="0.25">
      <c r="A221" s="8">
        <v>216</v>
      </c>
      <c r="B221" s="103" t="s">
        <v>3914</v>
      </c>
      <c r="C221" s="8">
        <v>2296214166</v>
      </c>
      <c r="D221" s="16" t="s">
        <v>823</v>
      </c>
      <c r="E221" s="62" t="s">
        <v>825</v>
      </c>
      <c r="F221" s="62" t="s">
        <v>1522</v>
      </c>
      <c r="G221" s="62" t="s">
        <v>826</v>
      </c>
      <c r="H221" s="65" t="s">
        <v>245</v>
      </c>
      <c r="I221" s="62"/>
      <c r="J221" s="14" t="s">
        <v>8</v>
      </c>
      <c r="K221" s="90">
        <v>1.46E-2</v>
      </c>
      <c r="L221" s="68">
        <v>1906.98</v>
      </c>
      <c r="M221" s="68">
        <v>278419.08</v>
      </c>
      <c r="N221" s="68" t="s">
        <v>827</v>
      </c>
      <c r="O221" s="367"/>
      <c r="P221" s="336">
        <v>39166.86</v>
      </c>
      <c r="Q221" s="336">
        <f t="shared" si="8"/>
        <v>39166.86</v>
      </c>
      <c r="R221" s="336">
        <v>14.068</v>
      </c>
      <c r="S221" s="308" t="s">
        <v>2599</v>
      </c>
      <c r="T221" s="50" t="s">
        <v>1781</v>
      </c>
      <c r="U221" s="62" t="s">
        <v>1634</v>
      </c>
    </row>
    <row r="222" spans="1:22" s="1367" customFormat="1" ht="37.5" x14ac:dyDescent="0.25">
      <c r="A222" s="8">
        <v>217</v>
      </c>
      <c r="B222" s="97" t="s">
        <v>828</v>
      </c>
      <c r="C222" s="8" t="s">
        <v>1523</v>
      </c>
      <c r="D222" s="8" t="s">
        <v>830</v>
      </c>
      <c r="E222" s="62" t="s">
        <v>833</v>
      </c>
      <c r="F222" s="62" t="s">
        <v>1524</v>
      </c>
      <c r="G222" s="62" t="s">
        <v>834</v>
      </c>
      <c r="H222" s="65" t="s">
        <v>835</v>
      </c>
      <c r="I222" s="62"/>
      <c r="J222" s="14" t="s">
        <v>8</v>
      </c>
      <c r="K222" s="90">
        <v>0.38500000000000001</v>
      </c>
      <c r="L222" s="68">
        <v>388.11</v>
      </c>
      <c r="M222" s="68">
        <v>1494223.5</v>
      </c>
      <c r="N222" s="68" t="s">
        <v>836</v>
      </c>
      <c r="O222" s="367"/>
      <c r="P222" s="336">
        <v>46171.49</v>
      </c>
      <c r="Q222" s="336">
        <f t="shared" si="8"/>
        <v>46171.49</v>
      </c>
      <c r="R222" s="336">
        <v>3.09</v>
      </c>
      <c r="S222" s="308">
        <v>44754</v>
      </c>
      <c r="T222" s="65" t="s">
        <v>1782</v>
      </c>
      <c r="U222" s="62" t="s">
        <v>1634</v>
      </c>
    </row>
    <row r="223" spans="1:22" s="1367" customFormat="1" ht="37.5" x14ac:dyDescent="0.25">
      <c r="A223" s="8">
        <v>218</v>
      </c>
      <c r="B223" s="97" t="s">
        <v>828</v>
      </c>
      <c r="C223" s="8" t="s">
        <v>1523</v>
      </c>
      <c r="D223" s="8" t="s">
        <v>837</v>
      </c>
      <c r="E223" s="65" t="s">
        <v>3764</v>
      </c>
      <c r="F223" s="62" t="s">
        <v>840</v>
      </c>
      <c r="G223" s="62" t="s">
        <v>841</v>
      </c>
      <c r="H223" s="65" t="s">
        <v>842</v>
      </c>
      <c r="I223" s="65"/>
      <c r="J223" s="14" t="s">
        <v>8</v>
      </c>
      <c r="K223" s="90">
        <v>7.7999999999999996E-3</v>
      </c>
      <c r="L223" s="68">
        <v>2258.81</v>
      </c>
      <c r="M223" s="68">
        <v>176187.18</v>
      </c>
      <c r="N223" s="68" t="s">
        <v>1989</v>
      </c>
      <c r="O223" s="367"/>
      <c r="P223" s="336">
        <v>15790.77</v>
      </c>
      <c r="Q223" s="336">
        <f t="shared" si="8"/>
        <v>15790.77</v>
      </c>
      <c r="R223" s="336">
        <f>Q223*100/M223</f>
        <v>8.9624965902740481</v>
      </c>
      <c r="S223" s="308" t="s">
        <v>2602</v>
      </c>
      <c r="T223" s="65" t="s">
        <v>1783</v>
      </c>
      <c r="U223" s="62" t="s">
        <v>1634</v>
      </c>
    </row>
    <row r="224" spans="1:22" s="1367" customFormat="1" ht="56.25" x14ac:dyDescent="0.25">
      <c r="A224" s="8">
        <v>219</v>
      </c>
      <c r="B224" s="97" t="s">
        <v>828</v>
      </c>
      <c r="C224" s="8">
        <v>3176909894</v>
      </c>
      <c r="D224" s="8" t="s">
        <v>3761</v>
      </c>
      <c r="E224" s="92" t="s">
        <v>3762</v>
      </c>
      <c r="F224" s="86" t="s">
        <v>3763</v>
      </c>
      <c r="G224" s="62" t="s">
        <v>3765</v>
      </c>
      <c r="H224" s="65">
        <v>44034</v>
      </c>
      <c r="I224" s="65"/>
      <c r="J224" s="14" t="s">
        <v>8</v>
      </c>
      <c r="K224" s="90">
        <v>1.9199999999999998E-2</v>
      </c>
      <c r="L224" s="68">
        <f>M224/192</f>
        <v>2258.85</v>
      </c>
      <c r="M224" s="68">
        <v>433699.2</v>
      </c>
      <c r="N224" s="68" t="s">
        <v>3766</v>
      </c>
      <c r="O224" s="367">
        <v>46188.97</v>
      </c>
      <c r="P224" s="336">
        <v>46188.97</v>
      </c>
      <c r="Q224" s="336">
        <f t="shared" si="8"/>
        <v>46188.97</v>
      </c>
      <c r="R224" s="336">
        <f>Q224*100/M224</f>
        <v>10.650001198987685</v>
      </c>
      <c r="S224" s="308">
        <v>45848</v>
      </c>
      <c r="T224" s="65" t="s">
        <v>1799</v>
      </c>
      <c r="U224" s="62" t="s">
        <v>1634</v>
      </c>
    </row>
    <row r="225" spans="1:23" s="1367" customFormat="1" ht="56.25" x14ac:dyDescent="0.25">
      <c r="A225" s="8">
        <v>220</v>
      </c>
      <c r="B225" s="97" t="s">
        <v>828</v>
      </c>
      <c r="C225" s="8">
        <v>3176909894</v>
      </c>
      <c r="D225" s="8" t="s">
        <v>3773</v>
      </c>
      <c r="E225" s="92" t="s">
        <v>3774</v>
      </c>
      <c r="F225" s="86" t="s">
        <v>3775</v>
      </c>
      <c r="G225" s="62" t="s">
        <v>3776</v>
      </c>
      <c r="H225" s="65">
        <v>44062</v>
      </c>
      <c r="I225" s="65"/>
      <c r="J225" s="14" t="s">
        <v>8</v>
      </c>
      <c r="K225" s="90">
        <v>3.61E-2</v>
      </c>
      <c r="L225" s="68">
        <f>M225/361</f>
        <v>2258.85</v>
      </c>
      <c r="M225" s="68">
        <v>815444.85</v>
      </c>
      <c r="N225" s="68" t="s">
        <v>3777</v>
      </c>
      <c r="O225" s="367">
        <v>26053.51</v>
      </c>
      <c r="P225" s="336">
        <v>26053.51</v>
      </c>
      <c r="Q225" s="336">
        <f t="shared" si="8"/>
        <v>26053.51</v>
      </c>
      <c r="R225" s="1438">
        <v>3.1949999999999998</v>
      </c>
      <c r="S225" s="308">
        <v>45875</v>
      </c>
      <c r="T225" s="65" t="s">
        <v>1799</v>
      </c>
      <c r="U225" s="62" t="s">
        <v>1634</v>
      </c>
    </row>
    <row r="226" spans="1:23" s="1367" customFormat="1" ht="112.5" x14ac:dyDescent="0.25">
      <c r="A226" s="8">
        <v>221</v>
      </c>
      <c r="B226" s="97" t="s">
        <v>2200</v>
      </c>
      <c r="C226" s="8">
        <v>2453919933</v>
      </c>
      <c r="D226" s="16" t="s">
        <v>849</v>
      </c>
      <c r="E226" s="15" t="s">
        <v>852</v>
      </c>
      <c r="F226" s="62" t="s">
        <v>1525</v>
      </c>
      <c r="G226" s="178" t="s">
        <v>853</v>
      </c>
      <c r="H226" s="65" t="s">
        <v>854</v>
      </c>
      <c r="I226" s="178"/>
      <c r="J226" s="177" t="s">
        <v>8</v>
      </c>
      <c r="K226" s="90">
        <v>9.0700000000000003E-2</v>
      </c>
      <c r="L226" s="68">
        <v>219.75</v>
      </c>
      <c r="M226" s="68">
        <v>199313.25</v>
      </c>
      <c r="N226" s="68" t="s">
        <v>855</v>
      </c>
      <c r="O226" s="367"/>
      <c r="P226" s="336">
        <f>M226*R226%</f>
        <v>8969.0962500000005</v>
      </c>
      <c r="Q226" s="336">
        <f t="shared" si="8"/>
        <v>8969.0962500000005</v>
      </c>
      <c r="R226" s="336">
        <v>4.5</v>
      </c>
      <c r="S226" s="308" t="s">
        <v>2601</v>
      </c>
      <c r="T226" s="91" t="s">
        <v>1785</v>
      </c>
      <c r="U226" s="62" t="s">
        <v>1639</v>
      </c>
    </row>
    <row r="227" spans="1:23" s="1367" customFormat="1" ht="56.25" x14ac:dyDescent="0.25">
      <c r="A227" s="8">
        <v>222</v>
      </c>
      <c r="B227" s="97" t="s">
        <v>2200</v>
      </c>
      <c r="C227" s="8">
        <v>2453919933</v>
      </c>
      <c r="D227" s="16" t="s">
        <v>2201</v>
      </c>
      <c r="E227" s="15" t="s">
        <v>2203</v>
      </c>
      <c r="F227" s="62" t="s">
        <v>2204</v>
      </c>
      <c r="G227" s="178" t="s">
        <v>2205</v>
      </c>
      <c r="H227" s="65" t="s">
        <v>2206</v>
      </c>
      <c r="I227" s="178"/>
      <c r="J227" s="177" t="s">
        <v>8</v>
      </c>
      <c r="K227" s="90">
        <v>6.7199999999999996E-2</v>
      </c>
      <c r="L227" s="68">
        <v>2012.38</v>
      </c>
      <c r="M227" s="68">
        <v>1352319.36</v>
      </c>
      <c r="N227" s="68" t="s">
        <v>2207</v>
      </c>
      <c r="O227" s="367"/>
      <c r="P227" s="336">
        <v>14199.35</v>
      </c>
      <c r="Q227" s="336">
        <f t="shared" si="8"/>
        <v>14199.35</v>
      </c>
      <c r="R227" s="336">
        <v>1.05</v>
      </c>
      <c r="S227" s="308" t="s">
        <v>2560</v>
      </c>
      <c r="T227" s="94" t="s">
        <v>2208</v>
      </c>
      <c r="U227" s="62" t="s">
        <v>1679</v>
      </c>
    </row>
    <row r="228" spans="1:23" s="1367" customFormat="1" ht="37.5" x14ac:dyDescent="0.25">
      <c r="A228" s="8">
        <v>223</v>
      </c>
      <c r="B228" s="97" t="s">
        <v>1990</v>
      </c>
      <c r="C228" s="8" t="s">
        <v>1526</v>
      </c>
      <c r="D228" s="16" t="s">
        <v>857</v>
      </c>
      <c r="E228" s="15" t="s">
        <v>859</v>
      </c>
      <c r="F228" s="181" t="s">
        <v>840</v>
      </c>
      <c r="G228" s="178" t="s">
        <v>860</v>
      </c>
      <c r="H228" s="65" t="s">
        <v>861</v>
      </c>
      <c r="I228" s="178"/>
      <c r="J228" s="177" t="s">
        <v>8</v>
      </c>
      <c r="K228" s="90">
        <v>7.0000000000000001E-3</v>
      </c>
      <c r="L228" s="68">
        <v>655.47</v>
      </c>
      <c r="M228" s="68">
        <v>45882.9</v>
      </c>
      <c r="N228" s="68" t="s">
        <v>1992</v>
      </c>
      <c r="O228" s="367"/>
      <c r="P228" s="336">
        <v>5505.89</v>
      </c>
      <c r="Q228" s="336">
        <f t="shared" si="8"/>
        <v>5505.89</v>
      </c>
      <c r="R228" s="336">
        <f>Q228*100/M228</f>
        <v>11.99987359125077</v>
      </c>
      <c r="S228" s="308" t="s">
        <v>2602</v>
      </c>
      <c r="T228" s="94" t="s">
        <v>1759</v>
      </c>
      <c r="U228" s="62" t="s">
        <v>1629</v>
      </c>
    </row>
    <row r="229" spans="1:23" s="1367" customFormat="1" ht="56.25" x14ac:dyDescent="0.25">
      <c r="A229" s="8">
        <v>224</v>
      </c>
      <c r="B229" s="103" t="s">
        <v>2132</v>
      </c>
      <c r="C229" s="8">
        <v>2714927287</v>
      </c>
      <c r="D229" s="16" t="s">
        <v>863</v>
      </c>
      <c r="E229" s="14" t="s">
        <v>864</v>
      </c>
      <c r="F229" s="62"/>
      <c r="G229" s="14" t="s">
        <v>2134</v>
      </c>
      <c r="H229" s="65">
        <v>41664</v>
      </c>
      <c r="I229" s="65" t="s">
        <v>2135</v>
      </c>
      <c r="J229" s="14" t="s">
        <v>8</v>
      </c>
      <c r="K229" s="90">
        <v>2.7000000000000001E-3</v>
      </c>
      <c r="L229" s="68">
        <f>M229/27</f>
        <v>940.08</v>
      </c>
      <c r="M229" s="68">
        <v>25382.16</v>
      </c>
      <c r="N229" s="68" t="s">
        <v>2136</v>
      </c>
      <c r="O229" s="367"/>
      <c r="P229" s="336">
        <f>M229*R229%</f>
        <v>2411.3052000000002</v>
      </c>
      <c r="Q229" s="336">
        <f t="shared" si="8"/>
        <v>2411.3052000000002</v>
      </c>
      <c r="R229" s="336">
        <v>9.5</v>
      </c>
      <c r="S229" s="308" t="s">
        <v>2603</v>
      </c>
      <c r="T229" s="94" t="s">
        <v>1718</v>
      </c>
      <c r="U229" s="62" t="s">
        <v>1634</v>
      </c>
      <c r="V229" s="1463" t="s">
        <v>2017</v>
      </c>
    </row>
    <row r="230" spans="1:23" s="1367" customFormat="1" ht="37.5" x14ac:dyDescent="0.25">
      <c r="A230" s="8">
        <v>225</v>
      </c>
      <c r="B230" s="103" t="s">
        <v>3245</v>
      </c>
      <c r="C230" s="8">
        <v>2714927287</v>
      </c>
      <c r="D230" s="16" t="s">
        <v>865</v>
      </c>
      <c r="E230" s="63" t="s">
        <v>868</v>
      </c>
      <c r="F230" s="81" t="s">
        <v>1488</v>
      </c>
      <c r="G230" s="63" t="s">
        <v>869</v>
      </c>
      <c r="H230" s="93" t="s">
        <v>870</v>
      </c>
      <c r="I230" s="63"/>
      <c r="J230" s="14" t="s">
        <v>8</v>
      </c>
      <c r="K230" s="90">
        <v>1.2E-2</v>
      </c>
      <c r="L230" s="68">
        <v>798.33</v>
      </c>
      <c r="M230" s="68">
        <v>95799.6</v>
      </c>
      <c r="N230" s="68" t="s">
        <v>871</v>
      </c>
      <c r="O230" s="367"/>
      <c r="P230" s="336">
        <f>M230*R230%</f>
        <v>12243.19</v>
      </c>
      <c r="Q230" s="1448">
        <v>12243.19</v>
      </c>
      <c r="R230" s="336">
        <f>Q230*100/M230</f>
        <v>12.780001169107177</v>
      </c>
      <c r="S230" s="308" t="s">
        <v>2590</v>
      </c>
      <c r="T230" s="1387" t="s">
        <v>1752</v>
      </c>
      <c r="U230" s="62" t="s">
        <v>1713</v>
      </c>
      <c r="V230" s="1464">
        <v>506410835</v>
      </c>
    </row>
    <row r="231" spans="1:23" s="1367" customFormat="1" ht="78.75" x14ac:dyDescent="0.25">
      <c r="A231" s="8">
        <v>226</v>
      </c>
      <c r="B231" s="103" t="s">
        <v>3245</v>
      </c>
      <c r="C231" s="8">
        <v>2714927287</v>
      </c>
      <c r="D231" s="16" t="s">
        <v>2959</v>
      </c>
      <c r="E231" s="63" t="s">
        <v>2962</v>
      </c>
      <c r="F231" s="81" t="s">
        <v>2963</v>
      </c>
      <c r="G231" s="63" t="s">
        <v>2964</v>
      </c>
      <c r="H231" s="93">
        <v>43739</v>
      </c>
      <c r="I231" s="63"/>
      <c r="J231" s="14" t="s">
        <v>8</v>
      </c>
      <c r="K231" s="1379">
        <v>5.0000000000000001E-3</v>
      </c>
      <c r="L231" s="1380">
        <f>M231/50</f>
        <v>799.08</v>
      </c>
      <c r="M231" s="68">
        <v>39954</v>
      </c>
      <c r="N231" s="68" t="s">
        <v>2965</v>
      </c>
      <c r="O231" s="367"/>
      <c r="P231" s="336">
        <v>4994.3999999999996</v>
      </c>
      <c r="Q231" s="336">
        <f t="shared" ref="Q231:Q277" si="9">P231</f>
        <v>4994.3999999999996</v>
      </c>
      <c r="R231" s="336">
        <v>12.5</v>
      </c>
      <c r="S231" s="308">
        <v>45560</v>
      </c>
      <c r="T231" s="1387" t="s">
        <v>1759</v>
      </c>
      <c r="U231" s="62" t="s">
        <v>1713</v>
      </c>
      <c r="V231" s="1465" t="s">
        <v>2209</v>
      </c>
      <c r="W231" s="1466"/>
    </row>
    <row r="232" spans="1:23" s="1367" customFormat="1" ht="96" x14ac:dyDescent="0.25">
      <c r="A232" s="8">
        <v>227</v>
      </c>
      <c r="B232" s="103" t="s">
        <v>3650</v>
      </c>
      <c r="C232" s="8" t="s">
        <v>3651</v>
      </c>
      <c r="D232" s="16" t="s">
        <v>872</v>
      </c>
      <c r="E232" s="63" t="s">
        <v>3652</v>
      </c>
      <c r="F232" s="81" t="s">
        <v>3653</v>
      </c>
      <c r="G232" s="63" t="s">
        <v>3654</v>
      </c>
      <c r="H232" s="93" t="s">
        <v>3655</v>
      </c>
      <c r="I232" s="63"/>
      <c r="J232" s="14" t="s">
        <v>8</v>
      </c>
      <c r="K232" s="1379">
        <v>0.03</v>
      </c>
      <c r="L232" s="1380">
        <f>M232/300</f>
        <v>483.94</v>
      </c>
      <c r="M232" s="68">
        <v>145182</v>
      </c>
      <c r="N232" s="68" t="s">
        <v>3194</v>
      </c>
      <c r="O232" s="367">
        <v>10037.629999999999</v>
      </c>
      <c r="P232" s="336">
        <v>10037.629999999999</v>
      </c>
      <c r="Q232" s="336">
        <f t="shared" si="9"/>
        <v>10037.629999999999</v>
      </c>
      <c r="R232" s="336">
        <v>7.0679999999999996</v>
      </c>
      <c r="S232" s="308" t="s">
        <v>2604</v>
      </c>
      <c r="T232" s="1387" t="s">
        <v>1786</v>
      </c>
      <c r="U232" s="62" t="s">
        <v>1634</v>
      </c>
      <c r="V232" s="1467"/>
    </row>
    <row r="233" spans="1:23" s="1367" customFormat="1" ht="75" x14ac:dyDescent="0.25">
      <c r="A233" s="8">
        <v>228</v>
      </c>
      <c r="B233" s="103" t="s">
        <v>2799</v>
      </c>
      <c r="C233" s="8" t="s">
        <v>1527</v>
      </c>
      <c r="D233" s="16" t="s">
        <v>875</v>
      </c>
      <c r="E233" s="14" t="s">
        <v>877</v>
      </c>
      <c r="F233" s="62"/>
      <c r="G233" s="14" t="s">
        <v>878</v>
      </c>
      <c r="H233" s="65" t="s">
        <v>879</v>
      </c>
      <c r="I233" s="181" t="s">
        <v>880</v>
      </c>
      <c r="J233" s="14" t="s">
        <v>8</v>
      </c>
      <c r="K233" s="1379">
        <v>4.4999999999999998E-2</v>
      </c>
      <c r="L233" s="1380">
        <v>295.16000000000003</v>
      </c>
      <c r="M233" s="68">
        <v>132822</v>
      </c>
      <c r="N233" s="68" t="s">
        <v>881</v>
      </c>
      <c r="O233" s="367"/>
      <c r="P233" s="336">
        <f>M233*R233%</f>
        <v>11289.87</v>
      </c>
      <c r="Q233" s="336">
        <f t="shared" si="9"/>
        <v>11289.87</v>
      </c>
      <c r="R233" s="336">
        <v>8.5</v>
      </c>
      <c r="S233" s="1439" t="s">
        <v>2605</v>
      </c>
      <c r="T233" s="94" t="s">
        <v>1787</v>
      </c>
      <c r="U233" s="62" t="s">
        <v>1634</v>
      </c>
    </row>
    <row r="234" spans="1:23" s="1367" customFormat="1" ht="75" x14ac:dyDescent="0.25">
      <c r="A234" s="8">
        <v>229</v>
      </c>
      <c r="B234" s="97" t="s">
        <v>2358</v>
      </c>
      <c r="C234" s="8">
        <v>2156308686</v>
      </c>
      <c r="D234" s="16" t="s">
        <v>884</v>
      </c>
      <c r="E234" s="14" t="s">
        <v>2409</v>
      </c>
      <c r="F234" s="62" t="s">
        <v>2361</v>
      </c>
      <c r="G234" s="14" t="s">
        <v>2410</v>
      </c>
      <c r="H234" s="65">
        <v>41893</v>
      </c>
      <c r="I234" s="65" t="s">
        <v>2411</v>
      </c>
      <c r="J234" s="14" t="s">
        <v>8</v>
      </c>
      <c r="K234" s="90">
        <v>3.0000000000000001E-3</v>
      </c>
      <c r="L234" s="68">
        <f>M234/30</f>
        <v>1030.8333333333333</v>
      </c>
      <c r="M234" s="68">
        <v>30925</v>
      </c>
      <c r="N234" s="68" t="s">
        <v>2362</v>
      </c>
      <c r="O234" s="367"/>
      <c r="P234" s="336">
        <f>M234*R234%</f>
        <v>3711</v>
      </c>
      <c r="Q234" s="336">
        <f t="shared" si="9"/>
        <v>3711</v>
      </c>
      <c r="R234" s="336">
        <v>12</v>
      </c>
      <c r="S234" s="308" t="s">
        <v>2412</v>
      </c>
      <c r="T234" s="91" t="s">
        <v>1769</v>
      </c>
      <c r="U234" s="62" t="s">
        <v>1850</v>
      </c>
      <c r="V234" s="384"/>
    </row>
    <row r="235" spans="1:23" s="1367" customFormat="1" ht="93.75" x14ac:dyDescent="0.25">
      <c r="A235" s="8">
        <v>230</v>
      </c>
      <c r="B235" s="97" t="s">
        <v>886</v>
      </c>
      <c r="C235" s="8">
        <v>2237422318</v>
      </c>
      <c r="D235" s="16" t="s">
        <v>3795</v>
      </c>
      <c r="E235" s="63" t="s">
        <v>3796</v>
      </c>
      <c r="F235" s="81" t="s">
        <v>3797</v>
      </c>
      <c r="G235" s="63" t="s">
        <v>3798</v>
      </c>
      <c r="H235" s="93">
        <v>44085</v>
      </c>
      <c r="I235" s="63"/>
      <c r="J235" s="14" t="s">
        <v>8</v>
      </c>
      <c r="K235" s="90">
        <v>0.90849999999999997</v>
      </c>
      <c r="L235" s="68">
        <f>M235/9085</f>
        <v>122.72</v>
      </c>
      <c r="M235" s="68">
        <v>1114911.2</v>
      </c>
      <c r="N235" s="15" t="s">
        <v>3799</v>
      </c>
      <c r="O235" s="367"/>
      <c r="P235" s="336">
        <v>89192.9</v>
      </c>
      <c r="Q235" s="336">
        <v>27253.38</v>
      </c>
      <c r="R235" s="336">
        <v>8</v>
      </c>
      <c r="S235" s="1439">
        <v>45172</v>
      </c>
      <c r="T235" s="91" t="s">
        <v>1788</v>
      </c>
      <c r="U235" s="62" t="s">
        <v>1639</v>
      </c>
    </row>
    <row r="236" spans="1:23" s="1367" customFormat="1" ht="93.75" x14ac:dyDescent="0.25">
      <c r="A236" s="8">
        <v>231</v>
      </c>
      <c r="B236" s="97" t="s">
        <v>886</v>
      </c>
      <c r="C236" s="8">
        <v>2237422318</v>
      </c>
      <c r="D236" s="16" t="s">
        <v>3800</v>
      </c>
      <c r="E236" s="63" t="s">
        <v>3801</v>
      </c>
      <c r="F236" s="81" t="s">
        <v>3797</v>
      </c>
      <c r="G236" s="63" t="s">
        <v>3802</v>
      </c>
      <c r="H236" s="93">
        <v>44085</v>
      </c>
      <c r="I236" s="63"/>
      <c r="J236" s="14" t="s">
        <v>8</v>
      </c>
      <c r="K236" s="90">
        <v>1.4713000000000001</v>
      </c>
      <c r="L236" s="68">
        <f>M236/14713</f>
        <v>122.72000000000001</v>
      </c>
      <c r="M236" s="68">
        <v>1805579.36</v>
      </c>
      <c r="N236" s="15" t="s">
        <v>3803</v>
      </c>
      <c r="O236" s="367"/>
      <c r="P236" s="336">
        <v>144446.35</v>
      </c>
      <c r="Q236" s="336">
        <v>44136.4</v>
      </c>
      <c r="R236" s="336">
        <v>8</v>
      </c>
      <c r="S236" s="1439">
        <v>45172</v>
      </c>
      <c r="T236" s="91" t="s">
        <v>1788</v>
      </c>
      <c r="U236" s="62" t="s">
        <v>1639</v>
      </c>
    </row>
    <row r="237" spans="1:23" s="1367" customFormat="1" ht="56.25" x14ac:dyDescent="0.25">
      <c r="A237" s="8">
        <v>232</v>
      </c>
      <c r="B237" s="103" t="s">
        <v>2773</v>
      </c>
      <c r="C237" s="8" t="s">
        <v>1529</v>
      </c>
      <c r="D237" s="16" t="s">
        <v>895</v>
      </c>
      <c r="E237" s="65" t="s">
        <v>898</v>
      </c>
      <c r="F237" s="81" t="s">
        <v>1437</v>
      </c>
      <c r="G237" s="63" t="s">
        <v>899</v>
      </c>
      <c r="H237" s="93" t="s">
        <v>900</v>
      </c>
      <c r="I237" s="63"/>
      <c r="J237" s="14" t="s">
        <v>8</v>
      </c>
      <c r="K237" s="90">
        <v>0.12790000000000001</v>
      </c>
      <c r="L237" s="68">
        <v>755.69</v>
      </c>
      <c r="M237" s="68">
        <v>966527.51000000024</v>
      </c>
      <c r="N237" s="15" t="s">
        <v>901</v>
      </c>
      <c r="O237" s="367"/>
      <c r="P237" s="336">
        <f>M237*R237%</f>
        <v>89403.794675000026</v>
      </c>
      <c r="Q237" s="336">
        <f t="shared" si="9"/>
        <v>89403.794675000026</v>
      </c>
      <c r="R237" s="336">
        <v>9.25</v>
      </c>
      <c r="S237" s="308" t="s">
        <v>2600</v>
      </c>
      <c r="T237" s="91" t="s">
        <v>1789</v>
      </c>
      <c r="U237" s="62" t="s">
        <v>1713</v>
      </c>
    </row>
    <row r="238" spans="1:23" s="1367" customFormat="1" ht="56.25" x14ac:dyDescent="0.25">
      <c r="A238" s="8">
        <v>233</v>
      </c>
      <c r="B238" s="103" t="s">
        <v>2927</v>
      </c>
      <c r="C238" s="8">
        <v>3256016657</v>
      </c>
      <c r="D238" s="16" t="s">
        <v>2929</v>
      </c>
      <c r="E238" s="92" t="s">
        <v>2932</v>
      </c>
      <c r="F238" s="81" t="s">
        <v>2925</v>
      </c>
      <c r="G238" s="63" t="s">
        <v>2933</v>
      </c>
      <c r="H238" s="93">
        <v>43733</v>
      </c>
      <c r="I238" s="63"/>
      <c r="J238" s="14" t="s">
        <v>8</v>
      </c>
      <c r="K238" s="90">
        <v>3.5000000000000003E-2</v>
      </c>
      <c r="L238" s="68">
        <f>M238/350</f>
        <v>755.88431428571437</v>
      </c>
      <c r="M238" s="68">
        <v>264559.51</v>
      </c>
      <c r="N238" s="15" t="s">
        <v>2934</v>
      </c>
      <c r="O238" s="367">
        <v>9127.19</v>
      </c>
      <c r="P238" s="336">
        <v>9127.17</v>
      </c>
      <c r="Q238" s="336">
        <f t="shared" si="9"/>
        <v>9127.17</v>
      </c>
      <c r="R238" s="336">
        <v>3.45</v>
      </c>
      <c r="S238" s="308">
        <v>45553</v>
      </c>
      <c r="T238" s="91" t="s">
        <v>1781</v>
      </c>
      <c r="U238" s="62" t="s">
        <v>1713</v>
      </c>
    </row>
    <row r="239" spans="1:23" s="1367" customFormat="1" ht="56.25" x14ac:dyDescent="0.25">
      <c r="A239" s="8">
        <v>234</v>
      </c>
      <c r="B239" s="103" t="s">
        <v>2927</v>
      </c>
      <c r="C239" s="8">
        <v>3256016657</v>
      </c>
      <c r="D239" s="16" t="s">
        <v>3088</v>
      </c>
      <c r="E239" s="92" t="s">
        <v>3091</v>
      </c>
      <c r="F239" s="81" t="s">
        <v>3092</v>
      </c>
      <c r="G239" s="63" t="s">
        <v>3093</v>
      </c>
      <c r="H239" s="93">
        <v>43742</v>
      </c>
      <c r="I239" s="63"/>
      <c r="J239" s="14" t="s">
        <v>8</v>
      </c>
      <c r="K239" s="90">
        <v>0.54090000000000005</v>
      </c>
      <c r="L239" s="68">
        <f>M239/5409</f>
        <v>317.39</v>
      </c>
      <c r="M239" s="68">
        <v>1716762.51</v>
      </c>
      <c r="N239" s="15" t="s">
        <v>3094</v>
      </c>
      <c r="O239" s="367">
        <v>19056.11</v>
      </c>
      <c r="P239" s="336">
        <v>19056.11</v>
      </c>
      <c r="Q239" s="336">
        <f t="shared" si="9"/>
        <v>19056.11</v>
      </c>
      <c r="R239" s="336">
        <v>1.1100000000000001</v>
      </c>
      <c r="S239" s="308">
        <v>45562</v>
      </c>
      <c r="T239" s="91" t="s">
        <v>3095</v>
      </c>
      <c r="U239" s="62" t="s">
        <v>3096</v>
      </c>
      <c r="V239" s="384">
        <v>960862818</v>
      </c>
    </row>
    <row r="240" spans="1:23" s="1367" customFormat="1" ht="56.25" x14ac:dyDescent="0.25">
      <c r="A240" s="8">
        <v>235</v>
      </c>
      <c r="B240" s="103" t="s">
        <v>2024</v>
      </c>
      <c r="C240" s="8">
        <v>2475804429</v>
      </c>
      <c r="D240" s="16" t="s">
        <v>2026</v>
      </c>
      <c r="E240" s="92" t="s">
        <v>2029</v>
      </c>
      <c r="F240" s="81" t="s">
        <v>2030</v>
      </c>
      <c r="G240" s="63" t="s">
        <v>2031</v>
      </c>
      <c r="H240" s="93" t="s">
        <v>2032</v>
      </c>
      <c r="I240" s="63"/>
      <c r="J240" s="14" t="s">
        <v>8</v>
      </c>
      <c r="K240" s="90">
        <v>3.9100000000000003E-2</v>
      </c>
      <c r="L240" s="68">
        <v>2217.75</v>
      </c>
      <c r="M240" s="68">
        <f>L240*391</f>
        <v>867140.25</v>
      </c>
      <c r="N240" s="15" t="s">
        <v>2033</v>
      </c>
      <c r="O240" s="367"/>
      <c r="P240" s="336">
        <f>M240*R240%</f>
        <v>26014.2075</v>
      </c>
      <c r="Q240" s="336">
        <f t="shared" si="9"/>
        <v>26014.2075</v>
      </c>
      <c r="R240" s="336">
        <v>3</v>
      </c>
      <c r="S240" s="308" t="s">
        <v>2560</v>
      </c>
      <c r="T240" s="91" t="s">
        <v>2034</v>
      </c>
      <c r="U240" s="62" t="s">
        <v>1634</v>
      </c>
      <c r="V240" s="384">
        <v>960862818</v>
      </c>
    </row>
    <row r="241" spans="1:22" s="1367" customFormat="1" ht="93.75" x14ac:dyDescent="0.25">
      <c r="A241" s="8">
        <v>236</v>
      </c>
      <c r="B241" s="103" t="s">
        <v>1938</v>
      </c>
      <c r="C241" s="8">
        <v>2771119758</v>
      </c>
      <c r="D241" s="14" t="s">
        <v>904</v>
      </c>
      <c r="E241" s="62" t="s">
        <v>906</v>
      </c>
      <c r="F241" s="384"/>
      <c r="G241" s="62" t="s">
        <v>2354</v>
      </c>
      <c r="H241" s="65" t="s">
        <v>907</v>
      </c>
      <c r="I241" s="62" t="s">
        <v>2355</v>
      </c>
      <c r="J241" s="14" t="s">
        <v>8</v>
      </c>
      <c r="K241" s="87">
        <v>2.5000000000000001E-3</v>
      </c>
      <c r="L241" s="88">
        <f>M241/25</f>
        <v>1404.59</v>
      </c>
      <c r="M241" s="68">
        <v>35114.75</v>
      </c>
      <c r="N241" s="8" t="s">
        <v>2356</v>
      </c>
      <c r="O241" s="367"/>
      <c r="P241" s="336">
        <v>2106.89</v>
      </c>
      <c r="Q241" s="336">
        <f t="shared" si="9"/>
        <v>2106.89</v>
      </c>
      <c r="R241" s="336">
        <v>6</v>
      </c>
      <c r="S241" s="308" t="s">
        <v>2524</v>
      </c>
      <c r="T241" s="93" t="s">
        <v>1780</v>
      </c>
      <c r="U241" s="62" t="s">
        <v>1634</v>
      </c>
    </row>
    <row r="242" spans="1:22" s="1367" customFormat="1" ht="131.25" x14ac:dyDescent="0.25">
      <c r="A242" s="8">
        <v>237</v>
      </c>
      <c r="B242" s="103" t="s">
        <v>2103</v>
      </c>
      <c r="C242" s="8">
        <v>2994817095</v>
      </c>
      <c r="D242" s="16" t="s">
        <v>3249</v>
      </c>
      <c r="E242" s="65" t="s">
        <v>2717</v>
      </c>
      <c r="F242" s="62" t="s">
        <v>2718</v>
      </c>
      <c r="G242" s="14" t="s">
        <v>2719</v>
      </c>
      <c r="H242" s="65">
        <v>42429</v>
      </c>
      <c r="I242" s="14" t="s">
        <v>2747</v>
      </c>
      <c r="J242" s="14" t="s">
        <v>8</v>
      </c>
      <c r="K242" s="90">
        <v>0.16550000000000001</v>
      </c>
      <c r="L242" s="68">
        <v>124.36</v>
      </c>
      <c r="M242" s="68">
        <v>213627.4</v>
      </c>
      <c r="N242" s="68" t="s">
        <v>2720</v>
      </c>
      <c r="O242" s="367">
        <v>60807.65</v>
      </c>
      <c r="P242" s="336">
        <f>M242*R242%</f>
        <v>19418.730659999997</v>
      </c>
      <c r="Q242" s="336">
        <f t="shared" si="9"/>
        <v>19418.730659999997</v>
      </c>
      <c r="R242" s="336">
        <v>9.09</v>
      </c>
      <c r="S242" s="308">
        <v>44553</v>
      </c>
      <c r="T242" s="1387" t="s">
        <v>1781</v>
      </c>
      <c r="U242" s="62" t="s">
        <v>1713</v>
      </c>
      <c r="V242" s="384"/>
    </row>
    <row r="243" spans="1:22" s="1367" customFormat="1" ht="56.25" x14ac:dyDescent="0.25">
      <c r="A243" s="8">
        <v>238</v>
      </c>
      <c r="B243" s="103" t="s">
        <v>2721</v>
      </c>
      <c r="C243" s="8">
        <v>2994817095</v>
      </c>
      <c r="D243" s="8" t="s">
        <v>3248</v>
      </c>
      <c r="E243" s="14" t="s">
        <v>2723</v>
      </c>
      <c r="F243" s="62" t="s">
        <v>2724</v>
      </c>
      <c r="G243" s="14" t="s">
        <v>2725</v>
      </c>
      <c r="H243" s="65">
        <v>42429</v>
      </c>
      <c r="I243" s="14" t="s">
        <v>2747</v>
      </c>
      <c r="J243" s="14" t="s">
        <v>8</v>
      </c>
      <c r="K243" s="90">
        <v>0.06</v>
      </c>
      <c r="L243" s="68">
        <v>124.36</v>
      </c>
      <c r="M243" s="68">
        <v>74616</v>
      </c>
      <c r="N243" s="68" t="s">
        <v>2726</v>
      </c>
      <c r="O243" s="367">
        <v>24737.040000000001</v>
      </c>
      <c r="P243" s="336">
        <f>M243*R243%</f>
        <v>7573.5240000000003</v>
      </c>
      <c r="Q243" s="336">
        <f t="shared" si="9"/>
        <v>7573.5240000000003</v>
      </c>
      <c r="R243" s="336">
        <v>10.15</v>
      </c>
      <c r="S243" s="308">
        <v>44222</v>
      </c>
      <c r="T243" s="1387" t="s">
        <v>2727</v>
      </c>
      <c r="U243" s="62" t="s">
        <v>1713</v>
      </c>
      <c r="V243" s="1440" t="s">
        <v>2715</v>
      </c>
    </row>
    <row r="244" spans="1:22" s="1367" customFormat="1" ht="37.5" x14ac:dyDescent="0.25">
      <c r="A244" s="8">
        <v>239</v>
      </c>
      <c r="B244" s="103" t="s">
        <v>912</v>
      </c>
      <c r="C244" s="8">
        <v>2994817095</v>
      </c>
      <c r="D244" s="8" t="s">
        <v>913</v>
      </c>
      <c r="E244" s="14" t="s">
        <v>2716</v>
      </c>
      <c r="F244" s="86" t="s">
        <v>840</v>
      </c>
      <c r="G244" s="85" t="s">
        <v>915</v>
      </c>
      <c r="H244" s="65" t="s">
        <v>916</v>
      </c>
      <c r="I244" s="14"/>
      <c r="J244" s="14" t="s">
        <v>8</v>
      </c>
      <c r="K244" s="90">
        <v>6.3399999999999998E-2</v>
      </c>
      <c r="L244" s="68">
        <f>M244/634</f>
        <v>621.86</v>
      </c>
      <c r="M244" s="68">
        <v>394259.24</v>
      </c>
      <c r="N244" s="68" t="s">
        <v>917</v>
      </c>
      <c r="O244" s="367">
        <v>13187.99</v>
      </c>
      <c r="P244" s="336">
        <v>13187.99</v>
      </c>
      <c r="Q244" s="336">
        <f t="shared" si="9"/>
        <v>13187.99</v>
      </c>
      <c r="R244" s="336">
        <v>3.35</v>
      </c>
      <c r="S244" s="308" t="s">
        <v>1792</v>
      </c>
      <c r="T244" s="1387" t="s">
        <v>1793</v>
      </c>
      <c r="U244" s="62" t="s">
        <v>1634</v>
      </c>
      <c r="V244" s="384"/>
    </row>
    <row r="245" spans="1:22" s="1367" customFormat="1" ht="56.25" x14ac:dyDescent="0.25">
      <c r="A245" s="8">
        <v>240</v>
      </c>
      <c r="B245" s="103" t="s">
        <v>2707</v>
      </c>
      <c r="C245" s="8">
        <v>2994817095</v>
      </c>
      <c r="D245" s="8" t="s">
        <v>2708</v>
      </c>
      <c r="E245" s="14" t="s">
        <v>2710</v>
      </c>
      <c r="F245" s="86" t="s">
        <v>2711</v>
      </c>
      <c r="G245" s="85" t="s">
        <v>2712</v>
      </c>
      <c r="H245" s="65">
        <v>43686</v>
      </c>
      <c r="I245" s="14"/>
      <c r="J245" s="14" t="s">
        <v>8</v>
      </c>
      <c r="K245" s="90">
        <v>8.0600000000000005E-2</v>
      </c>
      <c r="L245" s="68">
        <f>M245/806</f>
        <v>621.87</v>
      </c>
      <c r="M245" s="68">
        <v>501227.22</v>
      </c>
      <c r="N245" s="68" t="s">
        <v>2713</v>
      </c>
      <c r="O245" s="367">
        <v>15487.9</v>
      </c>
      <c r="P245" s="336">
        <v>15487.9</v>
      </c>
      <c r="Q245" s="336">
        <f t="shared" si="9"/>
        <v>15487.9</v>
      </c>
      <c r="R245" s="336">
        <v>3.09</v>
      </c>
      <c r="S245" s="308">
        <v>45497</v>
      </c>
      <c r="T245" s="1387" t="s">
        <v>1781</v>
      </c>
      <c r="U245" s="62" t="s">
        <v>1713</v>
      </c>
    </row>
    <row r="246" spans="1:22" s="1367" customFormat="1" ht="93.75" x14ac:dyDescent="0.25">
      <c r="A246" s="8">
        <v>241</v>
      </c>
      <c r="B246" s="103" t="s">
        <v>2991</v>
      </c>
      <c r="C246" s="8">
        <v>2098312198</v>
      </c>
      <c r="D246" s="8" t="s">
        <v>919</v>
      </c>
      <c r="E246" s="14" t="s">
        <v>922</v>
      </c>
      <c r="F246" s="86" t="s">
        <v>1530</v>
      </c>
      <c r="G246" s="85" t="s">
        <v>923</v>
      </c>
      <c r="H246" s="65" t="s">
        <v>924</v>
      </c>
      <c r="I246" s="14"/>
      <c r="J246" s="14" t="s">
        <v>8</v>
      </c>
      <c r="K246" s="90">
        <v>5.9799999999999999E-2</v>
      </c>
      <c r="L246" s="68">
        <v>422.81</v>
      </c>
      <c r="M246" s="68">
        <v>252840.38</v>
      </c>
      <c r="N246" s="68" t="s">
        <v>925</v>
      </c>
      <c r="O246" s="367">
        <v>8230.02</v>
      </c>
      <c r="P246" s="336">
        <v>8230.02</v>
      </c>
      <c r="Q246" s="336">
        <f t="shared" si="9"/>
        <v>8230.02</v>
      </c>
      <c r="R246" s="336">
        <v>3.26</v>
      </c>
      <c r="S246" s="308" t="s">
        <v>2606</v>
      </c>
      <c r="T246" s="1387" t="s">
        <v>1794</v>
      </c>
      <c r="U246" s="62" t="s">
        <v>1634</v>
      </c>
    </row>
    <row r="247" spans="1:22" s="1367" customFormat="1" ht="75" x14ac:dyDescent="0.25">
      <c r="A247" s="8">
        <v>242</v>
      </c>
      <c r="B247" s="103" t="s">
        <v>2991</v>
      </c>
      <c r="C247" s="8">
        <v>2098312198</v>
      </c>
      <c r="D247" s="8" t="s">
        <v>3195</v>
      </c>
      <c r="E247" s="85" t="s">
        <v>3199</v>
      </c>
      <c r="F247" s="86" t="s">
        <v>3092</v>
      </c>
      <c r="G247" s="85" t="s">
        <v>3198</v>
      </c>
      <c r="H247" s="65">
        <v>43788</v>
      </c>
      <c r="I247" s="14"/>
      <c r="J247" s="14" t="s">
        <v>8</v>
      </c>
      <c r="K247" s="1397">
        <v>4.6800000000000001E-2</v>
      </c>
      <c r="L247" s="1398">
        <f>M247/468</f>
        <v>422.82</v>
      </c>
      <c r="M247" s="68">
        <v>197879.76</v>
      </c>
      <c r="N247" s="68" t="s">
        <v>3200</v>
      </c>
      <c r="O247" s="367">
        <v>6648.71</v>
      </c>
      <c r="P247" s="336">
        <v>6648.71</v>
      </c>
      <c r="Q247" s="336">
        <f t="shared" si="9"/>
        <v>6648.71</v>
      </c>
      <c r="R247" s="336">
        <v>3.36</v>
      </c>
      <c r="S247" s="308">
        <v>45562</v>
      </c>
      <c r="T247" s="1387" t="s">
        <v>3201</v>
      </c>
      <c r="U247" s="178" t="s">
        <v>1634</v>
      </c>
      <c r="V247" s="1440" t="s">
        <v>2714</v>
      </c>
    </row>
    <row r="248" spans="1:22" s="1367" customFormat="1" ht="56.25" x14ac:dyDescent="0.25">
      <c r="A248" s="8">
        <v>243</v>
      </c>
      <c r="B248" s="103" t="s">
        <v>2992</v>
      </c>
      <c r="C248" s="8">
        <v>3031706964</v>
      </c>
      <c r="D248" s="8" t="s">
        <v>2994</v>
      </c>
      <c r="E248" s="85" t="s">
        <v>2996</v>
      </c>
      <c r="F248" s="86" t="s">
        <v>2963</v>
      </c>
      <c r="G248" s="85" t="s">
        <v>2997</v>
      </c>
      <c r="H248" s="65">
        <v>43745</v>
      </c>
      <c r="I248" s="14"/>
      <c r="J248" s="14" t="s">
        <v>8</v>
      </c>
      <c r="K248" s="1397">
        <v>0.08</v>
      </c>
      <c r="L248" s="1398">
        <f>M248/800</f>
        <v>569.85</v>
      </c>
      <c r="M248" s="68">
        <v>455880</v>
      </c>
      <c r="N248" s="68" t="s">
        <v>2998</v>
      </c>
      <c r="O248" s="367">
        <v>14291.82</v>
      </c>
      <c r="P248" s="336">
        <v>14291.82</v>
      </c>
      <c r="Q248" s="336">
        <f t="shared" si="9"/>
        <v>14291.82</v>
      </c>
      <c r="R248" s="336">
        <v>3.1349999999999998</v>
      </c>
      <c r="S248" s="308">
        <v>45560</v>
      </c>
      <c r="T248" s="65" t="s">
        <v>2999</v>
      </c>
      <c r="U248" s="178" t="s">
        <v>1634</v>
      </c>
      <c r="V248" s="1440"/>
    </row>
    <row r="249" spans="1:22" s="1367" customFormat="1" ht="56.25" x14ac:dyDescent="0.25">
      <c r="A249" s="8">
        <v>244</v>
      </c>
      <c r="B249" s="97" t="s">
        <v>3881</v>
      </c>
      <c r="C249" s="8">
        <v>2238002473</v>
      </c>
      <c r="D249" s="8" t="s">
        <v>3876</v>
      </c>
      <c r="E249" s="14" t="s">
        <v>3878</v>
      </c>
      <c r="F249" s="62" t="s">
        <v>3879</v>
      </c>
      <c r="G249" s="14" t="s">
        <v>3877</v>
      </c>
      <c r="H249" s="65">
        <v>44102</v>
      </c>
      <c r="I249" s="14"/>
      <c r="J249" s="14" t="s">
        <v>8</v>
      </c>
      <c r="K249" s="87">
        <v>3.5999999999999999E-3</v>
      </c>
      <c r="L249" s="68">
        <f>M249/36</f>
        <v>1595.57</v>
      </c>
      <c r="M249" s="68">
        <v>57440.52</v>
      </c>
      <c r="N249" s="68" t="s">
        <v>3880</v>
      </c>
      <c r="O249" s="367"/>
      <c r="P249" s="336">
        <f>M249*R249%</f>
        <v>4595.2416000000003</v>
      </c>
      <c r="Q249" s="336">
        <v>1187.1099999999999</v>
      </c>
      <c r="R249" s="336">
        <v>8</v>
      </c>
      <c r="S249" s="308">
        <v>45172</v>
      </c>
      <c r="T249" s="89" t="s">
        <v>1845</v>
      </c>
      <c r="U249" s="62" t="s">
        <v>1634</v>
      </c>
      <c r="V249" s="384"/>
    </row>
    <row r="250" spans="1:22" s="1367" customFormat="1" ht="75" x14ac:dyDescent="0.25">
      <c r="A250" s="8">
        <v>245</v>
      </c>
      <c r="B250" s="97" t="s">
        <v>926</v>
      </c>
      <c r="C250" s="8">
        <v>2797707477</v>
      </c>
      <c r="D250" s="8" t="s">
        <v>928</v>
      </c>
      <c r="E250" s="85" t="s">
        <v>931</v>
      </c>
      <c r="F250" s="86" t="s">
        <v>932</v>
      </c>
      <c r="G250" s="85" t="s">
        <v>933</v>
      </c>
      <c r="H250" s="65" t="s">
        <v>934</v>
      </c>
      <c r="I250" s="14"/>
      <c r="J250" s="14" t="s">
        <v>8</v>
      </c>
      <c r="K250" s="1397">
        <v>0.17599999999999999</v>
      </c>
      <c r="L250" s="1398">
        <v>1026.73</v>
      </c>
      <c r="M250" s="68">
        <v>1807044.8</v>
      </c>
      <c r="N250" s="68" t="s">
        <v>935</v>
      </c>
      <c r="O250" s="367"/>
      <c r="P250" s="336">
        <f>M250*R250%</f>
        <v>2710.5672</v>
      </c>
      <c r="Q250" s="336">
        <f t="shared" si="9"/>
        <v>2710.5672</v>
      </c>
      <c r="R250" s="336">
        <v>0.15</v>
      </c>
      <c r="S250" s="308" t="s">
        <v>2912</v>
      </c>
      <c r="T250" s="14" t="s">
        <v>1795</v>
      </c>
      <c r="U250" s="178" t="s">
        <v>1673</v>
      </c>
      <c r="V250" s="1440"/>
    </row>
    <row r="251" spans="1:22" s="1367" customFormat="1" ht="56.25" x14ac:dyDescent="0.25">
      <c r="A251" s="8">
        <v>246</v>
      </c>
      <c r="B251" s="103" t="s">
        <v>3732</v>
      </c>
      <c r="C251" s="8">
        <v>2797707477</v>
      </c>
      <c r="D251" s="16" t="s">
        <v>1214</v>
      </c>
      <c r="E251" s="62" t="s">
        <v>3733</v>
      </c>
      <c r="F251" s="62" t="s">
        <v>3734</v>
      </c>
      <c r="G251" s="62" t="s">
        <v>3735</v>
      </c>
      <c r="H251" s="65">
        <v>44019</v>
      </c>
      <c r="I251" s="62"/>
      <c r="J251" s="14" t="s">
        <v>8</v>
      </c>
      <c r="K251" s="66">
        <v>5.2499999999999998E-2</v>
      </c>
      <c r="L251" s="70">
        <v>1615.24</v>
      </c>
      <c r="M251" s="68">
        <v>848001</v>
      </c>
      <c r="N251" s="8" t="s">
        <v>3736</v>
      </c>
      <c r="O251" s="367"/>
      <c r="P251" s="336">
        <f>M251*R251%</f>
        <v>67840.08</v>
      </c>
      <c r="Q251" s="336">
        <v>32825.85</v>
      </c>
      <c r="R251" s="336">
        <v>8</v>
      </c>
      <c r="S251" s="1441" t="s">
        <v>3737</v>
      </c>
      <c r="T251" s="91" t="s">
        <v>1825</v>
      </c>
      <c r="U251" s="62" t="s">
        <v>1634</v>
      </c>
    </row>
    <row r="252" spans="1:22" s="1367" customFormat="1" ht="56.25" x14ac:dyDescent="0.25">
      <c r="A252" s="8">
        <v>247</v>
      </c>
      <c r="B252" s="1399" t="s">
        <v>944</v>
      </c>
      <c r="C252" s="1400">
        <v>2688318334</v>
      </c>
      <c r="D252" s="1400" t="s">
        <v>945</v>
      </c>
      <c r="E252" s="1395" t="s">
        <v>1900</v>
      </c>
      <c r="F252" s="1395" t="s">
        <v>1531</v>
      </c>
      <c r="G252" s="178" t="s">
        <v>946</v>
      </c>
      <c r="H252" s="1382" t="s">
        <v>1532</v>
      </c>
      <c r="I252" s="178"/>
      <c r="J252" s="14" t="s">
        <v>8</v>
      </c>
      <c r="K252" s="1397">
        <v>0.62170000000000003</v>
      </c>
      <c r="L252" s="1398">
        <v>400.52</v>
      </c>
      <c r="M252" s="68">
        <v>2490032.84</v>
      </c>
      <c r="N252" s="68" t="s">
        <v>947</v>
      </c>
      <c r="O252" s="367"/>
      <c r="P252" s="336">
        <v>26020.83</v>
      </c>
      <c r="Q252" s="336">
        <f t="shared" si="9"/>
        <v>26020.83</v>
      </c>
      <c r="R252" s="336">
        <v>1.04</v>
      </c>
      <c r="S252" s="1384" t="s">
        <v>2607</v>
      </c>
      <c r="T252" s="91" t="s">
        <v>1901</v>
      </c>
      <c r="U252" s="178" t="s">
        <v>1797</v>
      </c>
    </row>
    <row r="253" spans="1:22" s="1367" customFormat="1" ht="75" x14ac:dyDescent="0.25">
      <c r="A253" s="8">
        <v>248</v>
      </c>
      <c r="B253" s="1401" t="s">
        <v>948</v>
      </c>
      <c r="C253" s="178" t="s">
        <v>1533</v>
      </c>
      <c r="D253" s="1402" t="s">
        <v>950</v>
      </c>
      <c r="E253" s="70" t="s">
        <v>953</v>
      </c>
      <c r="F253" s="1395" t="s">
        <v>954</v>
      </c>
      <c r="G253" s="177" t="s">
        <v>955</v>
      </c>
      <c r="H253" s="1382" t="s">
        <v>1534</v>
      </c>
      <c r="I253" s="177"/>
      <c r="J253" s="177" t="s">
        <v>8</v>
      </c>
      <c r="K253" s="1397">
        <v>0.17</v>
      </c>
      <c r="L253" s="1398">
        <v>396.72</v>
      </c>
      <c r="M253" s="70">
        <v>674424</v>
      </c>
      <c r="N253" s="70" t="s">
        <v>956</v>
      </c>
      <c r="O253" s="1403"/>
      <c r="P253" s="534">
        <f>M253*R253%</f>
        <v>53953.919999999998</v>
      </c>
      <c r="Q253" s="534">
        <f t="shared" si="9"/>
        <v>53953.919999999998</v>
      </c>
      <c r="R253" s="534">
        <v>8</v>
      </c>
      <c r="S253" s="1442">
        <v>43920</v>
      </c>
      <c r="T253" s="1404" t="s">
        <v>1798</v>
      </c>
      <c r="U253" s="178" t="s">
        <v>1632</v>
      </c>
    </row>
    <row r="254" spans="1:22" s="1367" customFormat="1" ht="75" x14ac:dyDescent="0.25">
      <c r="A254" s="8">
        <v>249</v>
      </c>
      <c r="B254" s="97" t="s">
        <v>3384</v>
      </c>
      <c r="C254" s="14" t="s">
        <v>3385</v>
      </c>
      <c r="D254" s="8" t="s">
        <v>373</v>
      </c>
      <c r="E254" s="1443" t="s">
        <v>3386</v>
      </c>
      <c r="F254" s="62" t="s">
        <v>3387</v>
      </c>
      <c r="G254" s="65" t="s">
        <v>3388</v>
      </c>
      <c r="H254" s="65">
        <v>43852</v>
      </c>
      <c r="I254" s="65"/>
      <c r="J254" s="14" t="s">
        <v>8</v>
      </c>
      <c r="K254" s="87">
        <v>0.105</v>
      </c>
      <c r="L254" s="88">
        <v>826.52</v>
      </c>
      <c r="M254" s="68">
        <v>867846</v>
      </c>
      <c r="N254" s="14" t="s">
        <v>2171</v>
      </c>
      <c r="O254" s="367"/>
      <c r="P254" s="336">
        <v>10739.36</v>
      </c>
      <c r="Q254" s="336">
        <v>10739.36</v>
      </c>
      <c r="R254" s="336" t="s">
        <v>3450</v>
      </c>
      <c r="S254" s="308">
        <v>44886</v>
      </c>
      <c r="T254" s="14" t="s">
        <v>1715</v>
      </c>
      <c r="U254" s="62" t="s">
        <v>1634</v>
      </c>
    </row>
    <row r="255" spans="1:22" s="1367" customFormat="1" ht="37.5" x14ac:dyDescent="0.25">
      <c r="A255" s="8">
        <v>250</v>
      </c>
      <c r="B255" s="97" t="s">
        <v>963</v>
      </c>
      <c r="C255" s="50">
        <v>2712423750</v>
      </c>
      <c r="D255" s="105" t="s">
        <v>965</v>
      </c>
      <c r="E255" s="1405" t="s">
        <v>968</v>
      </c>
      <c r="F255" s="81" t="s">
        <v>560</v>
      </c>
      <c r="G255" s="1380" t="s">
        <v>969</v>
      </c>
      <c r="H255" s="1387" t="s">
        <v>1536</v>
      </c>
      <c r="I255" s="50"/>
      <c r="J255" s="50" t="s">
        <v>8</v>
      </c>
      <c r="K255" s="1377">
        <v>4.1000000000000002E-2</v>
      </c>
      <c r="L255" s="1378">
        <v>470.11</v>
      </c>
      <c r="M255" s="68">
        <v>192745.1</v>
      </c>
      <c r="N255" s="68" t="s">
        <v>970</v>
      </c>
      <c r="O255" s="367"/>
      <c r="P255" s="336">
        <v>6302.73</v>
      </c>
      <c r="Q255" s="336">
        <f t="shared" si="9"/>
        <v>6302.73</v>
      </c>
      <c r="R255" s="336">
        <v>3.27</v>
      </c>
      <c r="S255" s="308" t="s">
        <v>2523</v>
      </c>
      <c r="T255" s="93" t="s">
        <v>1782</v>
      </c>
      <c r="U255" s="1388" t="s">
        <v>1634</v>
      </c>
    </row>
    <row r="256" spans="1:22" s="1367" customFormat="1" ht="37.5" x14ac:dyDescent="0.25">
      <c r="A256" s="8">
        <v>251</v>
      </c>
      <c r="B256" s="103" t="s">
        <v>971</v>
      </c>
      <c r="C256" s="1373">
        <v>2445911170</v>
      </c>
      <c r="D256" s="16" t="s">
        <v>973</v>
      </c>
      <c r="E256" s="63" t="s">
        <v>3905</v>
      </c>
      <c r="F256" s="81" t="s">
        <v>3797</v>
      </c>
      <c r="G256" s="50" t="s">
        <v>3906</v>
      </c>
      <c r="H256" s="1387">
        <v>44109</v>
      </c>
      <c r="I256" s="50"/>
      <c r="J256" s="50" t="s">
        <v>8</v>
      </c>
      <c r="K256" s="1377">
        <v>4.0000000000000001E-3</v>
      </c>
      <c r="L256" s="1378">
        <v>853.15</v>
      </c>
      <c r="M256" s="68">
        <v>34126</v>
      </c>
      <c r="N256" s="68" t="s">
        <v>976</v>
      </c>
      <c r="O256" s="367"/>
      <c r="P256" s="336">
        <f>M256*R256%</f>
        <v>3753.86</v>
      </c>
      <c r="Q256" s="336">
        <f t="shared" si="9"/>
        <v>3753.86</v>
      </c>
      <c r="R256" s="336">
        <v>11</v>
      </c>
      <c r="S256" s="1384">
        <v>45172</v>
      </c>
      <c r="T256" s="89" t="s">
        <v>1752</v>
      </c>
      <c r="U256" s="1388" t="s">
        <v>1634</v>
      </c>
      <c r="V256" s="384"/>
    </row>
    <row r="257" spans="1:22" s="1367" customFormat="1" ht="56.25" x14ac:dyDescent="0.25">
      <c r="A257" s="8">
        <v>252</v>
      </c>
      <c r="B257" s="97" t="s">
        <v>3686</v>
      </c>
      <c r="C257" s="8">
        <v>2209602357</v>
      </c>
      <c r="D257" s="16" t="s">
        <v>3768</v>
      </c>
      <c r="E257" s="65" t="s">
        <v>3769</v>
      </c>
      <c r="F257" s="62" t="s">
        <v>3770</v>
      </c>
      <c r="G257" s="65" t="s">
        <v>3771</v>
      </c>
      <c r="H257" s="65">
        <v>44062</v>
      </c>
      <c r="I257" s="65"/>
      <c r="J257" s="14" t="s">
        <v>8</v>
      </c>
      <c r="K257" s="90">
        <v>4.1000000000000003E-3</v>
      </c>
      <c r="L257" s="68">
        <f>M257/41</f>
        <v>2258.8500000000004</v>
      </c>
      <c r="M257" s="68">
        <v>92612.85</v>
      </c>
      <c r="N257" s="68" t="s">
        <v>3772</v>
      </c>
      <c r="O257" s="367"/>
      <c r="P257" s="336">
        <f>M257*R257%</f>
        <v>9261.2850000000017</v>
      </c>
      <c r="Q257" s="336">
        <v>3410.73</v>
      </c>
      <c r="R257" s="336">
        <v>10</v>
      </c>
      <c r="S257" s="1444">
        <v>45131</v>
      </c>
      <c r="T257" s="1387" t="s">
        <v>1727</v>
      </c>
      <c r="U257" s="62" t="s">
        <v>1634</v>
      </c>
      <c r="V257" s="384"/>
    </row>
    <row r="258" spans="1:22" s="1367" customFormat="1" ht="37.5" x14ac:dyDescent="0.25">
      <c r="A258" s="8">
        <v>253</v>
      </c>
      <c r="B258" s="103" t="s">
        <v>979</v>
      </c>
      <c r="C258" s="8">
        <v>2842220174</v>
      </c>
      <c r="D258" s="16" t="s">
        <v>981</v>
      </c>
      <c r="E258" s="65" t="s">
        <v>3063</v>
      </c>
      <c r="F258" s="62" t="s">
        <v>1521</v>
      </c>
      <c r="G258" s="65" t="s">
        <v>984</v>
      </c>
      <c r="H258" s="65" t="s">
        <v>985</v>
      </c>
      <c r="I258" s="65"/>
      <c r="J258" s="14" t="s">
        <v>8</v>
      </c>
      <c r="K258" s="90">
        <v>0.1</v>
      </c>
      <c r="L258" s="68">
        <v>1318.74</v>
      </c>
      <c r="M258" s="68">
        <v>1318740</v>
      </c>
      <c r="N258" s="68" t="s">
        <v>986</v>
      </c>
      <c r="O258" s="367"/>
      <c r="P258" s="336">
        <v>40749.06</v>
      </c>
      <c r="Q258" s="336">
        <f t="shared" si="9"/>
        <v>40749.06</v>
      </c>
      <c r="R258" s="336">
        <v>3.09</v>
      </c>
      <c r="S258" s="308" t="s">
        <v>2572</v>
      </c>
      <c r="T258" s="1387" t="s">
        <v>1800</v>
      </c>
      <c r="U258" s="62" t="s">
        <v>1634</v>
      </c>
    </row>
    <row r="259" spans="1:22" s="1367" customFormat="1" ht="56.25" x14ac:dyDescent="0.25">
      <c r="A259" s="8">
        <v>254</v>
      </c>
      <c r="B259" s="103" t="s">
        <v>979</v>
      </c>
      <c r="C259" s="8">
        <v>2842220174</v>
      </c>
      <c r="D259" s="16" t="s">
        <v>3756</v>
      </c>
      <c r="E259" s="65" t="s">
        <v>3757</v>
      </c>
      <c r="F259" s="62" t="s">
        <v>3758</v>
      </c>
      <c r="G259" s="65" t="s">
        <v>3759</v>
      </c>
      <c r="H259" s="65">
        <v>44043</v>
      </c>
      <c r="I259" s="65"/>
      <c r="J259" s="14" t="s">
        <v>8</v>
      </c>
      <c r="K259" s="90">
        <v>0.15770000000000001</v>
      </c>
      <c r="L259" s="68">
        <f>M259/1577</f>
        <v>1318.76</v>
      </c>
      <c r="M259" s="68">
        <v>2079684.52</v>
      </c>
      <c r="N259" s="68" t="s">
        <v>3760</v>
      </c>
      <c r="O259" s="367">
        <v>27685.8</v>
      </c>
      <c r="P259" s="336">
        <v>27685.8</v>
      </c>
      <c r="Q259" s="336">
        <v>27685.8</v>
      </c>
      <c r="R259" s="336">
        <f>Q259*100/M259</f>
        <v>1.3312499917054728</v>
      </c>
      <c r="S259" s="308">
        <v>45834</v>
      </c>
      <c r="T259" s="1387" t="s">
        <v>3018</v>
      </c>
      <c r="U259" s="62" t="s">
        <v>1713</v>
      </c>
    </row>
    <row r="260" spans="1:22" s="1367" customFormat="1" ht="75" x14ac:dyDescent="0.25">
      <c r="A260" s="8">
        <v>255</v>
      </c>
      <c r="B260" s="103" t="s">
        <v>3781</v>
      </c>
      <c r="C260" s="8">
        <v>2658812006</v>
      </c>
      <c r="D260" s="16" t="s">
        <v>3782</v>
      </c>
      <c r="E260" s="65" t="s">
        <v>3783</v>
      </c>
      <c r="F260" s="62" t="s">
        <v>3784</v>
      </c>
      <c r="G260" s="65" t="s">
        <v>3785</v>
      </c>
      <c r="H260" s="65">
        <v>44060</v>
      </c>
      <c r="I260" s="65"/>
      <c r="J260" s="14" t="s">
        <v>8</v>
      </c>
      <c r="K260" s="90">
        <v>0.81430000000000002</v>
      </c>
      <c r="L260" s="68">
        <f>M260/8143</f>
        <v>426.58</v>
      </c>
      <c r="M260" s="68">
        <v>3473640.94</v>
      </c>
      <c r="N260" s="68" t="s">
        <v>3786</v>
      </c>
      <c r="O260" s="367">
        <v>353004.01</v>
      </c>
      <c r="P260" s="336">
        <f>O260</f>
        <v>353004.01</v>
      </c>
      <c r="Q260" s="336">
        <f>P260</f>
        <v>353004.01</v>
      </c>
      <c r="R260" s="336">
        <f>Q260*100/M260</f>
        <v>10.162363240686586</v>
      </c>
      <c r="S260" s="308">
        <v>45877</v>
      </c>
      <c r="T260" s="1387" t="s">
        <v>3787</v>
      </c>
      <c r="U260" s="62" t="s">
        <v>3694</v>
      </c>
    </row>
    <row r="261" spans="1:22" s="1367" customFormat="1" ht="56.25" x14ac:dyDescent="0.25">
      <c r="A261" s="8">
        <v>256</v>
      </c>
      <c r="B261" s="103" t="s">
        <v>3059</v>
      </c>
      <c r="C261" s="8">
        <v>2259314397</v>
      </c>
      <c r="D261" s="16" t="s">
        <v>3061</v>
      </c>
      <c r="E261" s="65" t="s">
        <v>3065</v>
      </c>
      <c r="F261" s="62" t="s">
        <v>3066</v>
      </c>
      <c r="G261" s="65" t="s">
        <v>3064</v>
      </c>
      <c r="H261" s="65">
        <v>43759</v>
      </c>
      <c r="I261" s="65"/>
      <c r="J261" s="14" t="s">
        <v>8</v>
      </c>
      <c r="K261" s="90">
        <v>6.8699999999999997E-2</v>
      </c>
      <c r="L261" s="68">
        <f>M261/687</f>
        <v>470.11</v>
      </c>
      <c r="M261" s="68">
        <v>322965.57</v>
      </c>
      <c r="N261" s="68" t="s">
        <v>3067</v>
      </c>
      <c r="O261" s="367">
        <v>11045.29</v>
      </c>
      <c r="P261" s="336">
        <v>11045.29</v>
      </c>
      <c r="Q261" s="336">
        <f t="shared" si="9"/>
        <v>11045.29</v>
      </c>
      <c r="R261" s="336">
        <f>Q261*100/M261</f>
        <v>3.4199589758128086</v>
      </c>
      <c r="S261" s="308">
        <v>45567</v>
      </c>
      <c r="T261" s="1387" t="s">
        <v>3068</v>
      </c>
      <c r="U261" s="62" t="s">
        <v>3069</v>
      </c>
    </row>
    <row r="262" spans="1:22" s="1367" customFormat="1" ht="56.25" x14ac:dyDescent="0.25">
      <c r="A262" s="8">
        <v>257</v>
      </c>
      <c r="B262" s="103" t="s">
        <v>2495</v>
      </c>
      <c r="C262" s="8">
        <v>2828224598</v>
      </c>
      <c r="D262" s="16" t="s">
        <v>2497</v>
      </c>
      <c r="E262" s="65" t="s">
        <v>2500</v>
      </c>
      <c r="F262" s="62" t="s">
        <v>2443</v>
      </c>
      <c r="G262" s="65" t="s">
        <v>2501</v>
      </c>
      <c r="H262" s="65">
        <v>43642</v>
      </c>
      <c r="I262" s="65"/>
      <c r="J262" s="14" t="s">
        <v>8</v>
      </c>
      <c r="K262" s="90">
        <v>3.5000000000000003E-2</v>
      </c>
      <c r="L262" s="68">
        <f>M262/350</f>
        <v>535.33214285714291</v>
      </c>
      <c r="M262" s="68">
        <v>187366.25</v>
      </c>
      <c r="N262" s="68" t="s">
        <v>2502</v>
      </c>
      <c r="O262" s="367">
        <v>7054.61</v>
      </c>
      <c r="P262" s="336">
        <v>7054.61</v>
      </c>
      <c r="Q262" s="336">
        <f t="shared" si="9"/>
        <v>7054.61</v>
      </c>
      <c r="R262" s="336">
        <v>3.7650000000000001</v>
      </c>
      <c r="S262" s="308">
        <v>45443</v>
      </c>
      <c r="T262" s="1387" t="s">
        <v>1759</v>
      </c>
      <c r="U262" s="62" t="s">
        <v>1713</v>
      </c>
      <c r="V262" s="384" t="s">
        <v>3070</v>
      </c>
    </row>
    <row r="263" spans="1:22" s="1367" customFormat="1" ht="37.5" x14ac:dyDescent="0.25">
      <c r="A263" s="8">
        <v>258</v>
      </c>
      <c r="B263" s="97" t="s">
        <v>2904</v>
      </c>
      <c r="C263" s="8">
        <v>2057902775</v>
      </c>
      <c r="D263" s="16" t="s">
        <v>30</v>
      </c>
      <c r="E263" s="14" t="s">
        <v>3625</v>
      </c>
      <c r="F263" s="62"/>
      <c r="G263" s="14">
        <v>40473200001</v>
      </c>
      <c r="H263" s="65">
        <v>38007</v>
      </c>
      <c r="I263" s="14"/>
      <c r="J263" s="14" t="s">
        <v>8</v>
      </c>
      <c r="K263" s="90">
        <v>5.7000000000000002E-2</v>
      </c>
      <c r="L263" s="68"/>
      <c r="M263" s="68">
        <v>0</v>
      </c>
      <c r="N263" s="68"/>
      <c r="O263" s="367"/>
      <c r="P263" s="336">
        <f>M263*R263%</f>
        <v>0</v>
      </c>
      <c r="Q263" s="336">
        <f t="shared" si="9"/>
        <v>0</v>
      </c>
      <c r="R263" s="336">
        <v>0.1</v>
      </c>
      <c r="S263" s="308">
        <v>56360</v>
      </c>
      <c r="T263" s="91" t="s">
        <v>1774</v>
      </c>
      <c r="U263" s="62"/>
    </row>
    <row r="264" spans="1:22" s="1367" customFormat="1" ht="131.25" x14ac:dyDescent="0.25">
      <c r="A264" s="8">
        <v>259</v>
      </c>
      <c r="B264" s="97" t="s">
        <v>3182</v>
      </c>
      <c r="C264" s="8" t="s">
        <v>3713</v>
      </c>
      <c r="D264" s="16" t="s">
        <v>989</v>
      </c>
      <c r="E264" s="14" t="s">
        <v>2851</v>
      </c>
      <c r="F264" s="62"/>
      <c r="G264" s="14" t="s">
        <v>2850</v>
      </c>
      <c r="H264" s="65">
        <v>42278</v>
      </c>
      <c r="I264" s="14" t="s">
        <v>3714</v>
      </c>
      <c r="J264" s="14" t="s">
        <v>8</v>
      </c>
      <c r="K264" s="87">
        <v>1.2070000000000001</v>
      </c>
      <c r="L264" s="88">
        <v>138.97</v>
      </c>
      <c r="M264" s="68">
        <v>1677367.9</v>
      </c>
      <c r="N264" s="68" t="s">
        <v>3715</v>
      </c>
      <c r="O264" s="367"/>
      <c r="P264" s="336">
        <f>M264*R264%</f>
        <v>16773.679</v>
      </c>
      <c r="Q264" s="336">
        <f t="shared" si="9"/>
        <v>16773.679</v>
      </c>
      <c r="R264" s="336">
        <v>1</v>
      </c>
      <c r="S264" s="308">
        <v>45074</v>
      </c>
      <c r="T264" s="93" t="s">
        <v>1801</v>
      </c>
      <c r="U264" s="62" t="s">
        <v>1639</v>
      </c>
    </row>
    <row r="265" spans="1:22" s="1367" customFormat="1" ht="56.25" x14ac:dyDescent="0.25">
      <c r="A265" s="8">
        <v>260</v>
      </c>
      <c r="B265" s="97" t="s">
        <v>2801</v>
      </c>
      <c r="C265" s="8">
        <v>3033418729</v>
      </c>
      <c r="D265" s="16" t="s">
        <v>992</v>
      </c>
      <c r="E265" s="14" t="s">
        <v>995</v>
      </c>
      <c r="F265" s="62" t="s">
        <v>1538</v>
      </c>
      <c r="G265" s="14" t="s">
        <v>996</v>
      </c>
      <c r="H265" s="93" t="s">
        <v>1539</v>
      </c>
      <c r="I265" s="14"/>
      <c r="J265" s="14" t="s">
        <v>8</v>
      </c>
      <c r="K265" s="87">
        <v>2.8E-3</v>
      </c>
      <c r="L265" s="88">
        <v>903.52</v>
      </c>
      <c r="M265" s="68">
        <v>25298.559999999998</v>
      </c>
      <c r="N265" s="68" t="s">
        <v>997</v>
      </c>
      <c r="O265" s="367"/>
      <c r="P265" s="336">
        <f>M265*R265%</f>
        <v>3035.8271999999997</v>
      </c>
      <c r="Q265" s="336">
        <f t="shared" si="9"/>
        <v>3035.8271999999997</v>
      </c>
      <c r="R265" s="336">
        <v>12</v>
      </c>
      <c r="S265" s="308" t="s">
        <v>2576</v>
      </c>
      <c r="T265" s="93" t="s">
        <v>1769</v>
      </c>
      <c r="U265" s="62" t="s">
        <v>1802</v>
      </c>
    </row>
    <row r="266" spans="1:22" s="1367" customFormat="1" ht="37.5" x14ac:dyDescent="0.25">
      <c r="A266" s="8">
        <v>261</v>
      </c>
      <c r="B266" s="97" t="s">
        <v>2800</v>
      </c>
      <c r="C266" s="8">
        <v>2714808837</v>
      </c>
      <c r="D266" s="16" t="s">
        <v>2866</v>
      </c>
      <c r="E266" s="14" t="s">
        <v>999</v>
      </c>
      <c r="F266" s="62" t="s">
        <v>2865</v>
      </c>
      <c r="G266" s="14">
        <v>40473200003</v>
      </c>
      <c r="H266" s="93" t="s">
        <v>1000</v>
      </c>
      <c r="I266" s="14"/>
      <c r="J266" s="14" t="s">
        <v>8</v>
      </c>
      <c r="K266" s="90">
        <v>5.4699999999999999E-2</v>
      </c>
      <c r="L266" s="68">
        <f>M266/547</f>
        <v>262.95999999999998</v>
      </c>
      <c r="M266" s="68">
        <v>143839.12</v>
      </c>
      <c r="N266" s="8">
        <v>2018</v>
      </c>
      <c r="O266" s="367"/>
      <c r="P266" s="336">
        <f>M266*R266%</f>
        <v>143.83912000000001</v>
      </c>
      <c r="Q266" s="336">
        <f t="shared" si="9"/>
        <v>143.83912000000001</v>
      </c>
      <c r="R266" s="336">
        <v>0.1</v>
      </c>
      <c r="S266" s="308">
        <v>56270</v>
      </c>
      <c r="T266" s="91" t="s">
        <v>1774</v>
      </c>
      <c r="U266" s="62" t="s">
        <v>1824</v>
      </c>
    </row>
    <row r="267" spans="1:22" s="1367" customFormat="1" ht="56.25" x14ac:dyDescent="0.25">
      <c r="A267" s="8">
        <v>262</v>
      </c>
      <c r="B267" s="97" t="s">
        <v>2620</v>
      </c>
      <c r="C267" s="8">
        <v>2504421916</v>
      </c>
      <c r="D267" s="16" t="s">
        <v>2622</v>
      </c>
      <c r="E267" s="1406" t="s">
        <v>2626</v>
      </c>
      <c r="F267" s="62" t="s">
        <v>2443</v>
      </c>
      <c r="G267" s="14" t="s">
        <v>2625</v>
      </c>
      <c r="H267" s="65">
        <v>43671</v>
      </c>
      <c r="I267" s="14"/>
      <c r="J267" s="14" t="s">
        <v>8</v>
      </c>
      <c r="K267" s="90">
        <v>0.03</v>
      </c>
      <c r="L267" s="68">
        <f>M267/300</f>
        <v>650.27</v>
      </c>
      <c r="M267" s="68">
        <v>195081</v>
      </c>
      <c r="N267" s="8" t="s">
        <v>2627</v>
      </c>
      <c r="O267" s="367">
        <v>7022.83</v>
      </c>
      <c r="P267" s="336">
        <v>7022.83</v>
      </c>
      <c r="Q267" s="336">
        <f t="shared" si="9"/>
        <v>7022.83</v>
      </c>
      <c r="R267" s="336">
        <v>3.6</v>
      </c>
      <c r="S267" s="308">
        <v>45443</v>
      </c>
      <c r="T267" s="94" t="s">
        <v>1759</v>
      </c>
      <c r="U267" s="62" t="s">
        <v>1634</v>
      </c>
    </row>
    <row r="268" spans="1:22" s="1367" customFormat="1" ht="56.25" x14ac:dyDescent="0.3">
      <c r="A268" s="8">
        <v>263</v>
      </c>
      <c r="B268" s="97" t="s">
        <v>2281</v>
      </c>
      <c r="C268" s="14">
        <v>2227219926</v>
      </c>
      <c r="D268" s="16" t="s">
        <v>2283</v>
      </c>
      <c r="E268" s="1445" t="s">
        <v>2284</v>
      </c>
      <c r="F268" s="62"/>
      <c r="G268" s="14" t="s">
        <v>2285</v>
      </c>
      <c r="H268" s="65" t="s">
        <v>2286</v>
      </c>
      <c r="I268" s="14" t="s">
        <v>2287</v>
      </c>
      <c r="J268" s="14" t="s">
        <v>8</v>
      </c>
      <c r="K268" s="90">
        <v>3.2000000000000002E-3</v>
      </c>
      <c r="L268" s="68">
        <f>M268/32</f>
        <v>931.19</v>
      </c>
      <c r="M268" s="68">
        <v>29798.080000000002</v>
      </c>
      <c r="N268" s="68" t="s">
        <v>2288</v>
      </c>
      <c r="O268" s="367"/>
      <c r="P268" s="336">
        <f>M268*R268%</f>
        <v>3277.7888000000003</v>
      </c>
      <c r="Q268" s="336">
        <f t="shared" si="9"/>
        <v>3277.7888000000003</v>
      </c>
      <c r="R268" s="336">
        <v>11</v>
      </c>
      <c r="S268" s="308">
        <v>44398</v>
      </c>
      <c r="T268" s="50" t="s">
        <v>1804</v>
      </c>
      <c r="U268" s="62" t="s">
        <v>1634</v>
      </c>
    </row>
    <row r="269" spans="1:22" s="1367" customFormat="1" ht="37.5" x14ac:dyDescent="0.25">
      <c r="A269" s="8">
        <v>264</v>
      </c>
      <c r="B269" s="97" t="s">
        <v>2802</v>
      </c>
      <c r="C269" s="8">
        <v>2655209751</v>
      </c>
      <c r="D269" s="16" t="s">
        <v>1009</v>
      </c>
      <c r="E269" s="85" t="s">
        <v>1010</v>
      </c>
      <c r="F269" s="86"/>
      <c r="G269" s="85"/>
      <c r="H269" s="92">
        <v>40220</v>
      </c>
      <c r="I269" s="85"/>
      <c r="J269" s="14" t="s">
        <v>8</v>
      </c>
      <c r="K269" s="90">
        <v>5.9999999999999995E-4</v>
      </c>
      <c r="L269" s="68">
        <v>1907.01</v>
      </c>
      <c r="M269" s="68">
        <v>11442.059999999998</v>
      </c>
      <c r="N269" s="68"/>
      <c r="O269" s="367"/>
      <c r="P269" s="336">
        <f>M269*R269%</f>
        <v>1258.6265999999998</v>
      </c>
      <c r="Q269" s="336">
        <f t="shared" si="9"/>
        <v>1258.6265999999998</v>
      </c>
      <c r="R269" s="336">
        <v>11</v>
      </c>
      <c r="S269" s="308">
        <v>41316</v>
      </c>
      <c r="T269" s="91" t="s">
        <v>1805</v>
      </c>
      <c r="U269" s="62" t="s">
        <v>1634</v>
      </c>
      <c r="V269" s="384"/>
    </row>
    <row r="270" spans="1:22" s="1367" customFormat="1" ht="56.25" x14ac:dyDescent="0.25">
      <c r="A270" s="8">
        <v>265</v>
      </c>
      <c r="B270" s="97" t="s">
        <v>2803</v>
      </c>
      <c r="C270" s="14">
        <v>2753809921</v>
      </c>
      <c r="D270" s="16" t="s">
        <v>1011</v>
      </c>
      <c r="E270" s="63" t="s">
        <v>2834</v>
      </c>
      <c r="F270" s="81" t="s">
        <v>2863</v>
      </c>
      <c r="G270" s="63" t="s">
        <v>2833</v>
      </c>
      <c r="H270" s="93" t="s">
        <v>1012</v>
      </c>
      <c r="I270" s="93">
        <v>43853</v>
      </c>
      <c r="J270" s="14" t="s">
        <v>8</v>
      </c>
      <c r="K270" s="90">
        <v>4.7999999999999996E-3</v>
      </c>
      <c r="L270" s="68">
        <f>M270/48</f>
        <v>799.07999999999993</v>
      </c>
      <c r="M270" s="68">
        <v>38355.839999999997</v>
      </c>
      <c r="N270" s="68" t="s">
        <v>3329</v>
      </c>
      <c r="O270" s="367"/>
      <c r="P270" s="336">
        <f>M270*R270%</f>
        <v>3260.2464</v>
      </c>
      <c r="Q270" s="336">
        <f t="shared" si="9"/>
        <v>3260.2464</v>
      </c>
      <c r="R270" s="336">
        <v>8.5</v>
      </c>
      <c r="S270" s="308">
        <v>45826</v>
      </c>
      <c r="T270" s="94" t="s">
        <v>3330</v>
      </c>
      <c r="U270" s="62" t="s">
        <v>1634</v>
      </c>
    </row>
    <row r="271" spans="1:22" s="1367" customFormat="1" ht="75" x14ac:dyDescent="0.25">
      <c r="A271" s="8">
        <v>266</v>
      </c>
      <c r="B271" s="103" t="s">
        <v>1958</v>
      </c>
      <c r="C271" s="14">
        <v>2473319419</v>
      </c>
      <c r="D271" s="16" t="s">
        <v>1013</v>
      </c>
      <c r="E271" s="93" t="s">
        <v>1960</v>
      </c>
      <c r="F271" s="81" t="s">
        <v>1961</v>
      </c>
      <c r="G271" s="93" t="s">
        <v>1962</v>
      </c>
      <c r="H271" s="93">
        <v>42626</v>
      </c>
      <c r="I271" s="93" t="s">
        <v>2367</v>
      </c>
      <c r="J271" s="14" t="s">
        <v>8</v>
      </c>
      <c r="K271" s="90">
        <v>5.9999999999999995E-4</v>
      </c>
      <c r="L271" s="68">
        <f>M271/6</f>
        <v>2043.2</v>
      </c>
      <c r="M271" s="68">
        <v>12259.2</v>
      </c>
      <c r="N271" s="68" t="s">
        <v>2368</v>
      </c>
      <c r="O271" s="367"/>
      <c r="P271" s="336">
        <f>M271*R271%</f>
        <v>1348.5120000000002</v>
      </c>
      <c r="Q271" s="336">
        <f t="shared" si="9"/>
        <v>1348.5120000000002</v>
      </c>
      <c r="R271" s="336">
        <v>11</v>
      </c>
      <c r="S271" s="308" t="s">
        <v>2524</v>
      </c>
      <c r="T271" s="50" t="s">
        <v>1804</v>
      </c>
      <c r="U271" s="62" t="s">
        <v>1634</v>
      </c>
    </row>
    <row r="272" spans="1:22" s="1367" customFormat="1" ht="56.25" x14ac:dyDescent="0.25">
      <c r="A272" s="8">
        <v>267</v>
      </c>
      <c r="B272" s="1407" t="s">
        <v>2423</v>
      </c>
      <c r="C272" s="14">
        <v>2626416873</v>
      </c>
      <c r="D272" s="16" t="s">
        <v>3716</v>
      </c>
      <c r="E272" s="65" t="s">
        <v>3717</v>
      </c>
      <c r="F272" s="62" t="s">
        <v>3718</v>
      </c>
      <c r="G272" s="65" t="s">
        <v>3719</v>
      </c>
      <c r="H272" s="65">
        <v>44018</v>
      </c>
      <c r="I272" s="65"/>
      <c r="J272" s="14" t="s">
        <v>8</v>
      </c>
      <c r="K272" s="90">
        <v>0.5605</v>
      </c>
      <c r="L272" s="68">
        <f>M272/5605</f>
        <v>661.23</v>
      </c>
      <c r="M272" s="68">
        <v>3706194.15</v>
      </c>
      <c r="N272" s="8" t="s">
        <v>3720</v>
      </c>
      <c r="O272" s="1125">
        <f>M272*1.05%</f>
        <v>38915.038574999999</v>
      </c>
      <c r="P272" s="336">
        <v>296495.53000000003</v>
      </c>
      <c r="Q272" s="336">
        <v>64126.46</v>
      </c>
      <c r="R272" s="336" t="s">
        <v>3789</v>
      </c>
      <c r="S272" s="308">
        <v>45784</v>
      </c>
      <c r="T272" s="65" t="s">
        <v>3721</v>
      </c>
      <c r="U272" s="62" t="s">
        <v>1713</v>
      </c>
    </row>
    <row r="273" spans="1:22" s="1367" customFormat="1" ht="56.25" x14ac:dyDescent="0.25">
      <c r="A273" s="8">
        <v>268</v>
      </c>
      <c r="B273" s="1407" t="s">
        <v>1020</v>
      </c>
      <c r="C273" s="14">
        <v>2335222837</v>
      </c>
      <c r="D273" s="16" t="s">
        <v>1022</v>
      </c>
      <c r="E273" s="65" t="s">
        <v>1024</v>
      </c>
      <c r="F273" s="62" t="s">
        <v>1542</v>
      </c>
      <c r="G273" s="65" t="s">
        <v>1025</v>
      </c>
      <c r="H273" s="65" t="s">
        <v>1543</v>
      </c>
      <c r="I273" s="65"/>
      <c r="J273" s="14" t="s">
        <v>8</v>
      </c>
      <c r="K273" s="90">
        <v>2.7000000000000001E-3</v>
      </c>
      <c r="L273" s="68">
        <v>854.24</v>
      </c>
      <c r="M273" s="68">
        <v>23064.48</v>
      </c>
      <c r="N273" s="8" t="s">
        <v>1026</v>
      </c>
      <c r="O273" s="367"/>
      <c r="P273" s="336">
        <f>M273*R273%</f>
        <v>23.06448</v>
      </c>
      <c r="Q273" s="336">
        <f t="shared" si="9"/>
        <v>23.06448</v>
      </c>
      <c r="R273" s="336">
        <v>0.1</v>
      </c>
      <c r="S273" s="308" t="s">
        <v>2522</v>
      </c>
      <c r="T273" s="65" t="s">
        <v>1807</v>
      </c>
      <c r="U273" s="62" t="s">
        <v>1768</v>
      </c>
      <c r="V273" s="384"/>
    </row>
    <row r="274" spans="1:22" s="1367" customFormat="1" ht="56.25" x14ac:dyDescent="0.25">
      <c r="A274" s="8">
        <v>269</v>
      </c>
      <c r="B274" s="1407" t="s">
        <v>3804</v>
      </c>
      <c r="C274" s="14">
        <v>2424920205</v>
      </c>
      <c r="D274" s="16" t="s">
        <v>3805</v>
      </c>
      <c r="E274" s="65" t="s">
        <v>3806</v>
      </c>
      <c r="F274" s="62" t="s">
        <v>3807</v>
      </c>
      <c r="G274" s="65" t="s">
        <v>3808</v>
      </c>
      <c r="H274" s="65">
        <v>44085</v>
      </c>
      <c r="I274" s="65"/>
      <c r="J274" s="14" t="s">
        <v>8</v>
      </c>
      <c r="K274" s="90">
        <v>5.1299999999999998E-2</v>
      </c>
      <c r="L274" s="68">
        <f>M274/513</f>
        <v>447.25</v>
      </c>
      <c r="M274" s="68">
        <v>229439.25</v>
      </c>
      <c r="N274" s="8" t="s">
        <v>3809</v>
      </c>
      <c r="O274" s="367"/>
      <c r="P274" s="336">
        <v>1147.2</v>
      </c>
      <c r="Q274" s="336">
        <v>1147.2</v>
      </c>
      <c r="R274" s="336">
        <v>0.5</v>
      </c>
      <c r="S274" s="308">
        <v>47688</v>
      </c>
      <c r="T274" s="65" t="s">
        <v>3810</v>
      </c>
      <c r="U274" s="62" t="s">
        <v>3811</v>
      </c>
      <c r="V274" s="384"/>
    </row>
    <row r="275" spans="1:22" s="1367" customFormat="1" ht="75" x14ac:dyDescent="0.25">
      <c r="A275" s="8">
        <v>270</v>
      </c>
      <c r="B275" s="1407" t="s">
        <v>2514</v>
      </c>
      <c r="C275" s="14">
        <v>2275422937</v>
      </c>
      <c r="D275" s="16" t="s">
        <v>1027</v>
      </c>
      <c r="E275" s="14" t="s">
        <v>2527</v>
      </c>
      <c r="F275" s="62" t="s">
        <v>2518</v>
      </c>
      <c r="G275" s="14" t="s">
        <v>2528</v>
      </c>
      <c r="H275" s="65">
        <v>42088</v>
      </c>
      <c r="I275" s="14" t="s">
        <v>3528</v>
      </c>
      <c r="J275" s="14" t="s">
        <v>8</v>
      </c>
      <c r="K275" s="90">
        <v>2.7000000000000001E-3</v>
      </c>
      <c r="L275" s="68">
        <f>M275/K275/10000</f>
        <v>854.24</v>
      </c>
      <c r="M275" s="68">
        <v>23064.48</v>
      </c>
      <c r="N275" s="8" t="s">
        <v>2529</v>
      </c>
      <c r="O275" s="367"/>
      <c r="P275" s="336">
        <f>M275*R275%</f>
        <v>1383.8688</v>
      </c>
      <c r="Q275" s="336">
        <f t="shared" si="9"/>
        <v>1383.8688</v>
      </c>
      <c r="R275" s="336">
        <v>6</v>
      </c>
      <c r="S275" s="308" t="s">
        <v>3529</v>
      </c>
      <c r="T275" s="65" t="s">
        <v>2525</v>
      </c>
      <c r="U275" s="62" t="s">
        <v>1824</v>
      </c>
    </row>
    <row r="276" spans="1:22" s="1367" customFormat="1" ht="75" x14ac:dyDescent="0.25">
      <c r="A276" s="8">
        <v>271</v>
      </c>
      <c r="B276" s="1407" t="s">
        <v>2515</v>
      </c>
      <c r="C276" s="14">
        <v>2455101949</v>
      </c>
      <c r="D276" s="16" t="s">
        <v>1029</v>
      </c>
      <c r="E276" s="14" t="s">
        <v>2520</v>
      </c>
      <c r="F276" s="62" t="s">
        <v>2518</v>
      </c>
      <c r="G276" s="14" t="s">
        <v>2519</v>
      </c>
      <c r="H276" s="65">
        <v>42088</v>
      </c>
      <c r="I276" s="14" t="s">
        <v>3528</v>
      </c>
      <c r="J276" s="14" t="s">
        <v>8</v>
      </c>
      <c r="K276" s="90">
        <v>3.0000000000000001E-3</v>
      </c>
      <c r="L276" s="68">
        <f>M276/K276/10000</f>
        <v>854.24</v>
      </c>
      <c r="M276" s="68">
        <v>25627.200000000001</v>
      </c>
      <c r="N276" s="8" t="s">
        <v>2521</v>
      </c>
      <c r="O276" s="367"/>
      <c r="P276" s="336">
        <f>M276*R276%</f>
        <v>1537.6320000000001</v>
      </c>
      <c r="Q276" s="336">
        <f t="shared" si="9"/>
        <v>1537.6320000000001</v>
      </c>
      <c r="R276" s="336">
        <v>6</v>
      </c>
      <c r="S276" s="308">
        <v>45638</v>
      </c>
      <c r="T276" s="65" t="s">
        <v>2525</v>
      </c>
      <c r="U276" s="62" t="s">
        <v>1824</v>
      </c>
      <c r="V276" s="384"/>
    </row>
    <row r="277" spans="1:22" s="1367" customFormat="1" ht="56.25" x14ac:dyDescent="0.25">
      <c r="A277" s="8">
        <v>272</v>
      </c>
      <c r="B277" s="1407" t="s">
        <v>1031</v>
      </c>
      <c r="C277" s="14">
        <v>2772920461</v>
      </c>
      <c r="D277" s="16" t="s">
        <v>1033</v>
      </c>
      <c r="E277" s="65" t="s">
        <v>1036</v>
      </c>
      <c r="F277" s="65">
        <v>43292</v>
      </c>
      <c r="G277" s="14" t="s">
        <v>2778</v>
      </c>
      <c r="H277" s="65" t="s">
        <v>564</v>
      </c>
      <c r="I277" s="14"/>
      <c r="J277" s="14" t="s">
        <v>8</v>
      </c>
      <c r="K277" s="90">
        <v>6.5600000000000006E-2</v>
      </c>
      <c r="L277" s="68">
        <v>724.18</v>
      </c>
      <c r="M277" s="68">
        <v>475062.07999999996</v>
      </c>
      <c r="N277" s="8" t="s">
        <v>1035</v>
      </c>
      <c r="O277" s="367"/>
      <c r="P277" s="336">
        <v>15249.5</v>
      </c>
      <c r="Q277" s="336">
        <f t="shared" si="9"/>
        <v>15249.5</v>
      </c>
      <c r="R277" s="336">
        <v>3.21</v>
      </c>
      <c r="S277" s="308" t="s">
        <v>2523</v>
      </c>
      <c r="T277" s="65" t="s">
        <v>1808</v>
      </c>
      <c r="U277" s="62" t="s">
        <v>1634</v>
      </c>
    </row>
    <row r="278" spans="1:22" s="1367" customFormat="1" ht="56.25" x14ac:dyDescent="0.25">
      <c r="A278" s="8">
        <v>273</v>
      </c>
      <c r="B278" s="1372" t="s">
        <v>1031</v>
      </c>
      <c r="C278" s="14">
        <v>2772920461</v>
      </c>
      <c r="D278" s="16" t="s">
        <v>3917</v>
      </c>
      <c r="E278" s="65" t="s">
        <v>3918</v>
      </c>
      <c r="F278" s="65">
        <v>44077</v>
      </c>
      <c r="G278" s="14" t="s">
        <v>3919</v>
      </c>
      <c r="H278" s="65">
        <v>44102</v>
      </c>
      <c r="I278" s="14"/>
      <c r="J278" s="14" t="s">
        <v>8</v>
      </c>
      <c r="K278" s="87">
        <v>2.3999999999999998E-3</v>
      </c>
      <c r="L278" s="88">
        <f>M278/24</f>
        <v>1595.57</v>
      </c>
      <c r="M278" s="68">
        <v>38293.68</v>
      </c>
      <c r="N278" s="8" t="s">
        <v>3920</v>
      </c>
      <c r="O278" s="367"/>
      <c r="P278" s="336">
        <f>M278*R278%</f>
        <v>3063.4944</v>
      </c>
      <c r="Q278" s="336">
        <v>791.4</v>
      </c>
      <c r="R278" s="336">
        <v>8</v>
      </c>
      <c r="S278" s="308">
        <v>45172</v>
      </c>
      <c r="T278" s="93" t="s">
        <v>1845</v>
      </c>
      <c r="U278" s="62" t="s">
        <v>1634</v>
      </c>
    </row>
    <row r="279" spans="1:22" s="1367" customFormat="1" ht="56.25" x14ac:dyDescent="0.25">
      <c r="A279" s="8">
        <v>274</v>
      </c>
      <c r="B279" s="1372" t="s">
        <v>3558</v>
      </c>
      <c r="C279" s="14">
        <v>2438910296</v>
      </c>
      <c r="D279" s="16" t="s">
        <v>3854</v>
      </c>
      <c r="E279" s="65" t="s">
        <v>3855</v>
      </c>
      <c r="F279" s="62" t="s">
        <v>3856</v>
      </c>
      <c r="G279" s="65" t="s">
        <v>3857</v>
      </c>
      <c r="H279" s="65">
        <v>44100</v>
      </c>
      <c r="I279" s="65"/>
      <c r="J279" s="14" t="s">
        <v>8</v>
      </c>
      <c r="K279" s="87">
        <v>0.10340000000000001</v>
      </c>
      <c r="L279" s="88">
        <f>M279/1034</f>
        <v>1570.22</v>
      </c>
      <c r="M279" s="68">
        <v>1623607.48</v>
      </c>
      <c r="N279" s="8" t="s">
        <v>3858</v>
      </c>
      <c r="O279" s="367"/>
      <c r="P279" s="336">
        <v>129888.6</v>
      </c>
      <c r="Q279" s="336">
        <v>34276.160000000003</v>
      </c>
      <c r="R279" s="336">
        <v>8</v>
      </c>
      <c r="S279" s="308">
        <v>45144</v>
      </c>
      <c r="T279" s="93" t="s">
        <v>1723</v>
      </c>
      <c r="U279" s="62" t="s">
        <v>1634</v>
      </c>
      <c r="V279" s="384">
        <v>951255057</v>
      </c>
    </row>
    <row r="280" spans="1:22" s="1367" customFormat="1" ht="56.25" x14ac:dyDescent="0.25">
      <c r="A280" s="8">
        <v>275</v>
      </c>
      <c r="B280" s="1446" t="s">
        <v>3558</v>
      </c>
      <c r="C280" s="14">
        <v>2438910296</v>
      </c>
      <c r="D280" s="16" t="s">
        <v>3859</v>
      </c>
      <c r="E280" s="65" t="s">
        <v>3860</v>
      </c>
      <c r="F280" s="62" t="s">
        <v>3861</v>
      </c>
      <c r="G280" s="65" t="s">
        <v>3862</v>
      </c>
      <c r="H280" s="65">
        <v>44100</v>
      </c>
      <c r="I280" s="65"/>
      <c r="J280" s="14" t="s">
        <v>8</v>
      </c>
      <c r="K280" s="87">
        <v>1.0999999999999999E-2</v>
      </c>
      <c r="L280" s="88">
        <f>M280/110</f>
        <v>1570.22</v>
      </c>
      <c r="M280" s="68">
        <v>172724.2</v>
      </c>
      <c r="N280" s="8" t="s">
        <v>3863</v>
      </c>
      <c r="O280" s="367"/>
      <c r="P280" s="336">
        <f>M280*R280%</f>
        <v>13817.936000000002</v>
      </c>
      <c r="Q280" s="336">
        <v>3646.4</v>
      </c>
      <c r="R280" s="336">
        <v>8</v>
      </c>
      <c r="S280" s="308">
        <v>45144</v>
      </c>
      <c r="T280" s="93" t="s">
        <v>1723</v>
      </c>
      <c r="U280" s="62" t="s">
        <v>1634</v>
      </c>
      <c r="V280" s="384"/>
    </row>
    <row r="281" spans="1:22" s="1367" customFormat="1" ht="56.25" x14ac:dyDescent="0.25">
      <c r="A281" s="8">
        <v>276</v>
      </c>
      <c r="B281" s="1446" t="s">
        <v>3558</v>
      </c>
      <c r="C281" s="14">
        <v>2438910296</v>
      </c>
      <c r="D281" s="16" t="s">
        <v>3864</v>
      </c>
      <c r="E281" s="65" t="s">
        <v>3865</v>
      </c>
      <c r="F281" s="62" t="s">
        <v>3866</v>
      </c>
      <c r="G281" s="65" t="s">
        <v>3867</v>
      </c>
      <c r="H281" s="65">
        <v>44100</v>
      </c>
      <c r="I281" s="65"/>
      <c r="J281" s="14" t="s">
        <v>8</v>
      </c>
      <c r="K281" s="87">
        <v>5.4999999999999997E-3</v>
      </c>
      <c r="L281" s="88">
        <f>M281/55</f>
        <v>1570.22</v>
      </c>
      <c r="M281" s="68">
        <v>86362.1</v>
      </c>
      <c r="N281" s="8" t="s">
        <v>3868</v>
      </c>
      <c r="O281" s="367"/>
      <c r="P281" s="336">
        <f>M281*R281%</f>
        <v>6908.9680000000008</v>
      </c>
      <c r="Q281" s="336">
        <v>1823.2</v>
      </c>
      <c r="R281" s="336">
        <v>8</v>
      </c>
      <c r="S281" s="308">
        <v>45144</v>
      </c>
      <c r="T281" s="93" t="s">
        <v>1723</v>
      </c>
      <c r="U281" s="62" t="s">
        <v>1634</v>
      </c>
      <c r="V281" s="384"/>
    </row>
    <row r="282" spans="1:22" s="1367" customFormat="1" ht="57.75" x14ac:dyDescent="0.25">
      <c r="A282" s="8">
        <v>277</v>
      </c>
      <c r="B282" s="1446" t="s">
        <v>3869</v>
      </c>
      <c r="C282" s="14" t="s">
        <v>3870</v>
      </c>
      <c r="D282" s="16" t="s">
        <v>3871</v>
      </c>
      <c r="E282" s="65" t="s">
        <v>3872</v>
      </c>
      <c r="F282" s="62" t="s">
        <v>3873</v>
      </c>
      <c r="G282" s="65" t="s">
        <v>3874</v>
      </c>
      <c r="H282" s="65">
        <v>44100</v>
      </c>
      <c r="I282" s="65"/>
      <c r="J282" s="14" t="s">
        <v>8</v>
      </c>
      <c r="K282" s="87">
        <v>1.17E-2</v>
      </c>
      <c r="L282" s="88">
        <f>M282/117</f>
        <v>1570.22</v>
      </c>
      <c r="M282" s="68">
        <v>183715.74</v>
      </c>
      <c r="N282" s="8" t="s">
        <v>3875</v>
      </c>
      <c r="O282" s="367"/>
      <c r="P282" s="336">
        <f>M282*R282%</f>
        <v>14697.2592</v>
      </c>
      <c r="Q282" s="336">
        <v>3878.44</v>
      </c>
      <c r="R282" s="336">
        <v>8</v>
      </c>
      <c r="S282" s="308">
        <v>45144</v>
      </c>
      <c r="T282" s="93" t="s">
        <v>1723</v>
      </c>
      <c r="U282" s="62" t="s">
        <v>1634</v>
      </c>
      <c r="V282" s="384"/>
    </row>
    <row r="283" spans="1:22" s="1367" customFormat="1" ht="93.75" x14ac:dyDescent="0.25">
      <c r="A283" s="8">
        <v>278</v>
      </c>
      <c r="B283" s="1381" t="s">
        <v>2804</v>
      </c>
      <c r="C283" s="8" t="s">
        <v>1038</v>
      </c>
      <c r="D283" s="8" t="s">
        <v>1039</v>
      </c>
      <c r="E283" s="14" t="s">
        <v>2672</v>
      </c>
      <c r="F283" s="62" t="s">
        <v>1544</v>
      </c>
      <c r="G283" s="14" t="s">
        <v>1041</v>
      </c>
      <c r="H283" s="65" t="s">
        <v>1544</v>
      </c>
      <c r="I283" s="65" t="s">
        <v>3331</v>
      </c>
      <c r="J283" s="14" t="s">
        <v>8</v>
      </c>
      <c r="K283" s="90">
        <v>0.2387</v>
      </c>
      <c r="L283" s="68">
        <f>M283/2387</f>
        <v>219.74</v>
      </c>
      <c r="M283" s="68">
        <v>524519.38</v>
      </c>
      <c r="N283" s="68" t="s">
        <v>3360</v>
      </c>
      <c r="O283" s="367"/>
      <c r="P283" s="336">
        <f>M283*R283%</f>
        <v>44584.147300000004</v>
      </c>
      <c r="Q283" s="336">
        <f t="shared" ref="Q283:Q315" si="10">P283</f>
        <v>44584.147300000004</v>
      </c>
      <c r="R283" s="336">
        <v>8.5</v>
      </c>
      <c r="S283" s="308" t="s">
        <v>2608</v>
      </c>
      <c r="T283" s="91" t="s">
        <v>1809</v>
      </c>
      <c r="U283" s="62" t="s">
        <v>1632</v>
      </c>
      <c r="V283" s="384">
        <v>951255057</v>
      </c>
    </row>
    <row r="284" spans="1:22" s="1367" customFormat="1" ht="56.25" x14ac:dyDescent="0.25">
      <c r="A284" s="8">
        <v>279</v>
      </c>
      <c r="B284" s="97" t="s">
        <v>2768</v>
      </c>
      <c r="C284" s="8">
        <v>2415819327</v>
      </c>
      <c r="D284" s="16" t="s">
        <v>1043</v>
      </c>
      <c r="E284" s="14" t="s">
        <v>1046</v>
      </c>
      <c r="F284" s="86" t="s">
        <v>561</v>
      </c>
      <c r="G284" s="85" t="s">
        <v>1047</v>
      </c>
      <c r="H284" s="92" t="s">
        <v>1048</v>
      </c>
      <c r="I284" s="92"/>
      <c r="J284" s="14" t="s">
        <v>8</v>
      </c>
      <c r="K284" s="90">
        <v>0.85899999999999999</v>
      </c>
      <c r="L284" s="68">
        <v>377.83</v>
      </c>
      <c r="M284" s="68">
        <v>3245559.7</v>
      </c>
      <c r="N284" s="68" t="s">
        <v>1049</v>
      </c>
      <c r="O284" s="367"/>
      <c r="P284" s="336">
        <f>M284*R284%</f>
        <v>97366.790999999997</v>
      </c>
      <c r="Q284" s="336">
        <f t="shared" si="10"/>
        <v>97366.790999999997</v>
      </c>
      <c r="R284" s="336">
        <v>3</v>
      </c>
      <c r="S284" s="308">
        <v>48877</v>
      </c>
      <c r="T284" s="91" t="s">
        <v>1810</v>
      </c>
      <c r="U284" s="62" t="s">
        <v>1667</v>
      </c>
    </row>
    <row r="285" spans="1:22" s="1367" customFormat="1" ht="37.5" x14ac:dyDescent="0.25">
      <c r="A285" s="8">
        <v>280</v>
      </c>
      <c r="B285" s="97" t="s">
        <v>1050</v>
      </c>
      <c r="C285" s="8">
        <v>2878110594</v>
      </c>
      <c r="D285" s="8" t="s">
        <v>1052</v>
      </c>
      <c r="E285" s="14" t="s">
        <v>1055</v>
      </c>
      <c r="F285" s="86" t="s">
        <v>1545</v>
      </c>
      <c r="G285" s="85" t="s">
        <v>1056</v>
      </c>
      <c r="H285" s="92" t="s">
        <v>1546</v>
      </c>
      <c r="I285" s="85"/>
      <c r="J285" s="14" t="s">
        <v>8</v>
      </c>
      <c r="K285" s="90">
        <v>0.158</v>
      </c>
      <c r="L285" s="68">
        <v>1066.43</v>
      </c>
      <c r="M285" s="68">
        <v>1684959.4000000001</v>
      </c>
      <c r="N285" s="1408" t="s">
        <v>1057</v>
      </c>
      <c r="O285" s="367"/>
      <c r="P285" s="336">
        <f>M285*R285%</f>
        <v>60658.538400000012</v>
      </c>
      <c r="Q285" s="336">
        <f t="shared" si="10"/>
        <v>60658.538400000012</v>
      </c>
      <c r="R285" s="336">
        <v>3.6</v>
      </c>
      <c r="S285" s="308" t="s">
        <v>2609</v>
      </c>
      <c r="T285" s="91" t="s">
        <v>1811</v>
      </c>
      <c r="U285" s="62" t="s">
        <v>1634</v>
      </c>
    </row>
    <row r="286" spans="1:22" s="1367" customFormat="1" ht="281.25" x14ac:dyDescent="0.25">
      <c r="A286" s="8">
        <v>281</v>
      </c>
      <c r="B286" s="1381" t="s">
        <v>2729</v>
      </c>
      <c r="C286" s="8" t="s">
        <v>2728</v>
      </c>
      <c r="D286" s="8" t="s">
        <v>2731</v>
      </c>
      <c r="E286" s="85" t="s">
        <v>2733</v>
      </c>
      <c r="F286" s="86" t="s">
        <v>2711</v>
      </c>
      <c r="G286" s="85" t="s">
        <v>2734</v>
      </c>
      <c r="H286" s="92">
        <v>43683</v>
      </c>
      <c r="I286" s="85"/>
      <c r="J286" s="14" t="s">
        <v>8</v>
      </c>
      <c r="K286" s="90">
        <v>0.13700000000000001</v>
      </c>
      <c r="L286" s="68">
        <f>M286/1370</f>
        <v>877.14010218978103</v>
      </c>
      <c r="M286" s="68">
        <v>1201681.94</v>
      </c>
      <c r="N286" s="68" t="s">
        <v>2735</v>
      </c>
      <c r="O286" s="367"/>
      <c r="P286" s="336">
        <f>M286*R286%</f>
        <v>6008.4097000000002</v>
      </c>
      <c r="Q286" s="336">
        <f t="shared" si="10"/>
        <v>6008.4097000000002</v>
      </c>
      <c r="R286" s="336">
        <v>0.5</v>
      </c>
      <c r="S286" s="308">
        <v>45470</v>
      </c>
      <c r="T286" s="91" t="s">
        <v>1741</v>
      </c>
      <c r="U286" s="62" t="s">
        <v>1824</v>
      </c>
    </row>
    <row r="287" spans="1:22" s="1367" customFormat="1" ht="37.5" x14ac:dyDescent="0.25">
      <c r="A287" s="8">
        <v>282</v>
      </c>
      <c r="B287" s="103" t="s">
        <v>1058</v>
      </c>
      <c r="C287" s="8">
        <v>3046513049</v>
      </c>
      <c r="D287" s="8" t="s">
        <v>1059</v>
      </c>
      <c r="E287" s="8" t="s">
        <v>1062</v>
      </c>
      <c r="F287" s="62" t="s">
        <v>1530</v>
      </c>
      <c r="G287" s="62" t="s">
        <v>1063</v>
      </c>
      <c r="H287" s="65" t="s">
        <v>1530</v>
      </c>
      <c r="I287" s="62"/>
      <c r="J287" s="14" t="s">
        <v>8</v>
      </c>
      <c r="K287" s="90">
        <v>1.4200000000000001E-2</v>
      </c>
      <c r="L287" s="68">
        <v>655.47</v>
      </c>
      <c r="M287" s="68">
        <v>93076.74</v>
      </c>
      <c r="N287" s="68" t="s">
        <v>3286</v>
      </c>
      <c r="O287" s="367">
        <v>11671.86</v>
      </c>
      <c r="P287" s="336">
        <v>11671.86</v>
      </c>
      <c r="Q287" s="336">
        <f t="shared" si="10"/>
        <v>11671.86</v>
      </c>
      <c r="R287" s="336">
        <v>12.54</v>
      </c>
      <c r="S287" s="308">
        <v>44873</v>
      </c>
      <c r="T287" s="1387" t="s">
        <v>1734</v>
      </c>
      <c r="U287" s="62" t="s">
        <v>1634</v>
      </c>
    </row>
    <row r="288" spans="1:22" s="1367" customFormat="1" ht="37.5" x14ac:dyDescent="0.25">
      <c r="A288" s="8">
        <v>283</v>
      </c>
      <c r="B288" s="103" t="s">
        <v>1058</v>
      </c>
      <c r="C288" s="8">
        <v>3046513049</v>
      </c>
      <c r="D288" s="16" t="s">
        <v>3236</v>
      </c>
      <c r="E288" s="8" t="s">
        <v>3237</v>
      </c>
      <c r="F288" s="81" t="s">
        <v>3023</v>
      </c>
      <c r="G288" s="81" t="s">
        <v>3238</v>
      </c>
      <c r="H288" s="93">
        <v>43784</v>
      </c>
      <c r="I288" s="81"/>
      <c r="J288" s="14" t="s">
        <v>8</v>
      </c>
      <c r="K288" s="87">
        <v>1.5E-3</v>
      </c>
      <c r="L288" s="88">
        <f>M288/15</f>
        <v>684.84</v>
      </c>
      <c r="M288" s="68">
        <v>10272.6</v>
      </c>
      <c r="N288" s="68" t="s">
        <v>3239</v>
      </c>
      <c r="O288" s="367">
        <v>2003.86</v>
      </c>
      <c r="P288" s="336">
        <v>2003.86</v>
      </c>
      <c r="Q288" s="336">
        <f t="shared" si="10"/>
        <v>2003.86</v>
      </c>
      <c r="R288" s="336">
        <f>P288*100/M288</f>
        <v>19.506843447617936</v>
      </c>
      <c r="S288" s="308">
        <v>45566</v>
      </c>
      <c r="T288" s="1387" t="s">
        <v>1759</v>
      </c>
      <c r="U288" s="62" t="s">
        <v>1634</v>
      </c>
    </row>
    <row r="289" spans="1:22" s="1367" customFormat="1" ht="56.25" x14ac:dyDescent="0.25">
      <c r="A289" s="8">
        <v>284</v>
      </c>
      <c r="B289" s="103" t="s">
        <v>3104</v>
      </c>
      <c r="C289" s="8">
        <v>2993508019</v>
      </c>
      <c r="D289" s="16" t="s">
        <v>3106</v>
      </c>
      <c r="E289" s="63" t="s">
        <v>3109</v>
      </c>
      <c r="F289" s="81" t="s">
        <v>3110</v>
      </c>
      <c r="G289" s="63" t="s">
        <v>3111</v>
      </c>
      <c r="H289" s="93">
        <v>43724</v>
      </c>
      <c r="I289" s="63"/>
      <c r="J289" s="14" t="s">
        <v>8</v>
      </c>
      <c r="K289" s="87">
        <v>9.9000000000000008E-3</v>
      </c>
      <c r="L289" s="88">
        <f>M289/99</f>
        <v>2258.85</v>
      </c>
      <c r="M289" s="68">
        <v>223626.15</v>
      </c>
      <c r="N289" s="15" t="s">
        <v>3112</v>
      </c>
      <c r="O289" s="367">
        <v>22809.86</v>
      </c>
      <c r="P289" s="336">
        <v>22809.86</v>
      </c>
      <c r="Q289" s="336">
        <f t="shared" si="10"/>
        <v>22809.86</v>
      </c>
      <c r="R289" s="336">
        <v>10.199999999999999</v>
      </c>
      <c r="S289" s="308">
        <v>45534</v>
      </c>
      <c r="T289" s="89" t="s">
        <v>1759</v>
      </c>
      <c r="U289" s="62" t="s">
        <v>1713</v>
      </c>
    </row>
    <row r="290" spans="1:22" s="1367" customFormat="1" ht="56.25" x14ac:dyDescent="0.25">
      <c r="A290" s="8">
        <v>285</v>
      </c>
      <c r="B290" s="103" t="s">
        <v>3104</v>
      </c>
      <c r="C290" s="8">
        <v>2993508019</v>
      </c>
      <c r="D290" s="16" t="s">
        <v>3704</v>
      </c>
      <c r="E290" s="63" t="s">
        <v>3706</v>
      </c>
      <c r="F290" s="81" t="s">
        <v>3829</v>
      </c>
      <c r="G290" s="63" t="s">
        <v>3705</v>
      </c>
      <c r="H290" s="93">
        <v>44014</v>
      </c>
      <c r="I290" s="63"/>
      <c r="J290" s="14" t="s">
        <v>8</v>
      </c>
      <c r="K290" s="87">
        <v>5.6000000000000001E-2</v>
      </c>
      <c r="L290" s="88">
        <f>M290/560</f>
        <v>1735.21</v>
      </c>
      <c r="M290" s="68">
        <v>971717.6</v>
      </c>
      <c r="N290" s="15" t="s">
        <v>3707</v>
      </c>
      <c r="O290" s="367">
        <v>30026.09</v>
      </c>
      <c r="P290" s="336">
        <v>30026.09</v>
      </c>
      <c r="Q290" s="336">
        <v>14932.3</v>
      </c>
      <c r="R290" s="336">
        <v>3.09</v>
      </c>
      <c r="S290" s="308">
        <v>45832</v>
      </c>
      <c r="T290" s="89" t="s">
        <v>3647</v>
      </c>
      <c r="U290" s="62" t="s">
        <v>1713</v>
      </c>
    </row>
    <row r="291" spans="1:22" s="1367" customFormat="1" ht="56.25" x14ac:dyDescent="0.25">
      <c r="A291" s="8">
        <v>286</v>
      </c>
      <c r="B291" s="103" t="s">
        <v>3104</v>
      </c>
      <c r="C291" s="8">
        <v>2993508019</v>
      </c>
      <c r="D291" s="16" t="s">
        <v>3827</v>
      </c>
      <c r="E291" s="63" t="s">
        <v>3828</v>
      </c>
      <c r="F291" s="81" t="s">
        <v>3830</v>
      </c>
      <c r="G291" s="63" t="s">
        <v>3831</v>
      </c>
      <c r="H291" s="93">
        <v>44096</v>
      </c>
      <c r="I291" s="63"/>
      <c r="J291" s="14" t="s">
        <v>8</v>
      </c>
      <c r="K291" s="87">
        <v>2.7199999999999998E-2</v>
      </c>
      <c r="L291" s="88">
        <f>M291/272</f>
        <v>1735.21</v>
      </c>
      <c r="M291" s="68">
        <v>471977.12</v>
      </c>
      <c r="N291" s="15" t="s">
        <v>3832</v>
      </c>
      <c r="O291" s="367">
        <v>38513.33</v>
      </c>
      <c r="P291" s="336">
        <v>38513.33</v>
      </c>
      <c r="Q291" s="336">
        <v>38513.33</v>
      </c>
      <c r="R291" s="336">
        <v>8.16</v>
      </c>
      <c r="S291" s="308">
        <v>45916</v>
      </c>
      <c r="T291" s="89" t="s">
        <v>3647</v>
      </c>
      <c r="U291" s="62" t="s">
        <v>1713</v>
      </c>
    </row>
    <row r="292" spans="1:22" s="1367" customFormat="1" ht="56.25" x14ac:dyDescent="0.25">
      <c r="A292" s="8">
        <v>287</v>
      </c>
      <c r="B292" s="103" t="s">
        <v>1072</v>
      </c>
      <c r="C292" s="8">
        <v>2706301806</v>
      </c>
      <c r="D292" s="16" t="s">
        <v>1074</v>
      </c>
      <c r="E292" s="63" t="s">
        <v>1077</v>
      </c>
      <c r="F292" s="81" t="s">
        <v>1078</v>
      </c>
      <c r="G292" s="63" t="s">
        <v>1079</v>
      </c>
      <c r="H292" s="93" t="s">
        <v>587</v>
      </c>
      <c r="I292" s="63"/>
      <c r="J292" s="14" t="s">
        <v>8</v>
      </c>
      <c r="K292" s="87">
        <v>2.3900000000000001E-2</v>
      </c>
      <c r="L292" s="88">
        <v>842.27</v>
      </c>
      <c r="M292" s="68">
        <v>201302.53</v>
      </c>
      <c r="N292" s="15" t="s">
        <v>1080</v>
      </c>
      <c r="O292" s="367"/>
      <c r="P292" s="336">
        <f>M292*R292%</f>
        <v>20130.253000000001</v>
      </c>
      <c r="Q292" s="336">
        <f t="shared" si="10"/>
        <v>20130.253000000001</v>
      </c>
      <c r="R292" s="336">
        <v>10</v>
      </c>
      <c r="S292" s="308" t="s">
        <v>2571</v>
      </c>
      <c r="T292" s="89" t="s">
        <v>1812</v>
      </c>
      <c r="U292" s="62" t="s">
        <v>1634</v>
      </c>
      <c r="V292" s="384"/>
    </row>
    <row r="293" spans="1:22" s="1367" customFormat="1" ht="56.25" x14ac:dyDescent="0.25">
      <c r="A293" s="8">
        <v>288</v>
      </c>
      <c r="B293" s="103" t="s">
        <v>2553</v>
      </c>
      <c r="C293" s="8">
        <v>2941313160</v>
      </c>
      <c r="D293" s="16" t="s">
        <v>1081</v>
      </c>
      <c r="E293" s="93" t="s">
        <v>2945</v>
      </c>
      <c r="F293" s="81" t="s">
        <v>2946</v>
      </c>
      <c r="G293" s="93" t="s">
        <v>2835</v>
      </c>
      <c r="H293" s="93">
        <v>42179</v>
      </c>
      <c r="I293" s="93" t="s">
        <v>2947</v>
      </c>
      <c r="J293" s="14" t="s">
        <v>8</v>
      </c>
      <c r="K293" s="90">
        <v>3.0000000000000001E-3</v>
      </c>
      <c r="L293" s="68">
        <f>M293/30</f>
        <v>646.09</v>
      </c>
      <c r="M293" s="68">
        <v>19382.7</v>
      </c>
      <c r="N293" s="68" t="s">
        <v>2948</v>
      </c>
      <c r="O293" s="367"/>
      <c r="P293" s="336">
        <f>M293*R293%</f>
        <v>193.827</v>
      </c>
      <c r="Q293" s="336">
        <f t="shared" si="10"/>
        <v>193.827</v>
      </c>
      <c r="R293" s="336">
        <v>1</v>
      </c>
      <c r="S293" s="308">
        <v>43866</v>
      </c>
      <c r="T293" s="50" t="s">
        <v>1731</v>
      </c>
      <c r="U293" s="62" t="s">
        <v>1802</v>
      </c>
      <c r="V293" s="384"/>
    </row>
    <row r="294" spans="1:22" s="1367" customFormat="1" ht="37.5" x14ac:dyDescent="0.25">
      <c r="A294" s="8">
        <v>289</v>
      </c>
      <c r="B294" s="103" t="s">
        <v>2767</v>
      </c>
      <c r="C294" s="8">
        <v>3142718288</v>
      </c>
      <c r="D294" s="16" t="s">
        <v>1084</v>
      </c>
      <c r="E294" s="93" t="s">
        <v>1087</v>
      </c>
      <c r="F294" s="81" t="s">
        <v>1521</v>
      </c>
      <c r="G294" s="93" t="s">
        <v>1088</v>
      </c>
      <c r="H294" s="93" t="s">
        <v>1547</v>
      </c>
      <c r="I294" s="93"/>
      <c r="J294" s="14" t="s">
        <v>8</v>
      </c>
      <c r="K294" s="90">
        <v>1.5699999999999999E-2</v>
      </c>
      <c r="L294" s="68">
        <v>2258.81</v>
      </c>
      <c r="M294" s="68">
        <v>354633.17</v>
      </c>
      <c r="N294" s="68" t="s">
        <v>1089</v>
      </c>
      <c r="O294" s="367"/>
      <c r="P294" s="336">
        <v>27528.42</v>
      </c>
      <c r="Q294" s="336">
        <f t="shared" si="10"/>
        <v>27528.42</v>
      </c>
      <c r="R294" s="336">
        <v>7.7629999999999999</v>
      </c>
      <c r="S294" s="1142" t="s">
        <v>2572</v>
      </c>
      <c r="T294" s="1148" t="s">
        <v>1813</v>
      </c>
      <c r="U294" s="1134" t="s">
        <v>1713</v>
      </c>
      <c r="V294" s="384"/>
    </row>
    <row r="295" spans="1:22" s="1367" customFormat="1" ht="56.25" x14ac:dyDescent="0.25">
      <c r="A295" s="8">
        <v>290</v>
      </c>
      <c r="B295" s="97" t="s">
        <v>1090</v>
      </c>
      <c r="C295" s="14">
        <v>2683002068</v>
      </c>
      <c r="D295" s="16" t="s">
        <v>1092</v>
      </c>
      <c r="E295" s="62" t="s">
        <v>1094</v>
      </c>
      <c r="F295" s="62" t="s">
        <v>1095</v>
      </c>
      <c r="G295" s="62" t="s">
        <v>1096</v>
      </c>
      <c r="H295" s="65" t="s">
        <v>1097</v>
      </c>
      <c r="I295" s="62"/>
      <c r="J295" s="14" t="s">
        <v>8</v>
      </c>
      <c r="K295" s="90">
        <v>5.7999999999999996E-3</v>
      </c>
      <c r="L295" s="68">
        <v>931.19</v>
      </c>
      <c r="M295" s="68">
        <v>54009.02</v>
      </c>
      <c r="N295" s="68" t="s">
        <v>1098</v>
      </c>
      <c r="O295" s="367"/>
      <c r="P295" s="336">
        <f>M295*R295%</f>
        <v>5940.9921999999997</v>
      </c>
      <c r="Q295" s="336">
        <f t="shared" si="10"/>
        <v>5940.9921999999997</v>
      </c>
      <c r="R295" s="336">
        <v>11</v>
      </c>
      <c r="S295" s="308" t="s">
        <v>2573</v>
      </c>
      <c r="T295" s="91" t="s">
        <v>1814</v>
      </c>
      <c r="U295" s="62" t="s">
        <v>1634</v>
      </c>
    </row>
    <row r="296" spans="1:22" s="1367" customFormat="1" ht="93.75" x14ac:dyDescent="0.25">
      <c r="A296" s="8">
        <v>291</v>
      </c>
      <c r="B296" s="103" t="s">
        <v>2250</v>
      </c>
      <c r="C296" s="8" t="s">
        <v>1099</v>
      </c>
      <c r="D296" s="8" t="s">
        <v>1100</v>
      </c>
      <c r="E296" s="62" t="s">
        <v>2673</v>
      </c>
      <c r="F296" s="62" t="s">
        <v>2254</v>
      </c>
      <c r="G296" s="62" t="s">
        <v>2255</v>
      </c>
      <c r="H296" s="65" t="s">
        <v>2256</v>
      </c>
      <c r="I296" s="62" t="s">
        <v>3080</v>
      </c>
      <c r="J296" s="14" t="s">
        <v>8</v>
      </c>
      <c r="K296" s="90">
        <v>0.79</v>
      </c>
      <c r="L296" s="68">
        <f>M296/7900</f>
        <v>226.71</v>
      </c>
      <c r="M296" s="68">
        <v>1791009</v>
      </c>
      <c r="N296" s="8" t="s">
        <v>2082</v>
      </c>
      <c r="O296" s="367"/>
      <c r="P296" s="336">
        <f>M296*R296%</f>
        <v>18805.594500000003</v>
      </c>
      <c r="Q296" s="336">
        <f t="shared" si="10"/>
        <v>18805.594500000003</v>
      </c>
      <c r="R296" s="336">
        <v>1.05</v>
      </c>
      <c r="S296" s="308">
        <v>43918</v>
      </c>
      <c r="T296" s="91" t="s">
        <v>1815</v>
      </c>
      <c r="U296" s="62" t="s">
        <v>2257</v>
      </c>
    </row>
    <row r="297" spans="1:22" s="1367" customFormat="1" ht="56.25" x14ac:dyDescent="0.25">
      <c r="A297" s="8">
        <v>292</v>
      </c>
      <c r="B297" s="103" t="s">
        <v>1101</v>
      </c>
      <c r="C297" s="1388" t="s">
        <v>1548</v>
      </c>
      <c r="D297" s="105" t="s">
        <v>1103</v>
      </c>
      <c r="E297" s="14" t="s">
        <v>1106</v>
      </c>
      <c r="F297" s="62" t="s">
        <v>1549</v>
      </c>
      <c r="G297" s="14" t="s">
        <v>1107</v>
      </c>
      <c r="H297" s="65" t="s">
        <v>1108</v>
      </c>
      <c r="I297" s="14"/>
      <c r="J297" s="177" t="s">
        <v>8</v>
      </c>
      <c r="K297" s="87">
        <v>0.48699999999999999</v>
      </c>
      <c r="L297" s="1378">
        <v>273.52</v>
      </c>
      <c r="M297" s="68">
        <v>1332042.3999999999</v>
      </c>
      <c r="N297" s="68" t="s">
        <v>2083</v>
      </c>
      <c r="O297" s="367"/>
      <c r="P297" s="336">
        <v>41160.129999999997</v>
      </c>
      <c r="Q297" s="336">
        <f t="shared" si="10"/>
        <v>41160.129999999997</v>
      </c>
      <c r="R297" s="336">
        <v>3.09</v>
      </c>
      <c r="S297" s="1142">
        <v>44803</v>
      </c>
      <c r="T297" s="105" t="s">
        <v>1683</v>
      </c>
      <c r="U297" s="62" t="s">
        <v>1639</v>
      </c>
      <c r="V297" s="1462"/>
    </row>
    <row r="298" spans="1:22" s="1367" customFormat="1" ht="56.25" x14ac:dyDescent="0.25">
      <c r="A298" s="8">
        <v>293</v>
      </c>
      <c r="B298" s="97" t="s">
        <v>2315</v>
      </c>
      <c r="C298" s="14">
        <v>3227824359</v>
      </c>
      <c r="D298" s="16" t="s">
        <v>467</v>
      </c>
      <c r="E298" s="65" t="s">
        <v>2318</v>
      </c>
      <c r="F298" s="62" t="s">
        <v>2296</v>
      </c>
      <c r="G298" s="65" t="s">
        <v>2319</v>
      </c>
      <c r="H298" s="65" t="s">
        <v>2320</v>
      </c>
      <c r="I298" s="65"/>
      <c r="J298" s="14" t="s">
        <v>8</v>
      </c>
      <c r="K298" s="90">
        <v>0.36</v>
      </c>
      <c r="L298" s="68">
        <f>M298/3600</f>
        <v>725.91</v>
      </c>
      <c r="M298" s="68">
        <v>2613276</v>
      </c>
      <c r="N298" s="68" t="s">
        <v>2321</v>
      </c>
      <c r="O298" s="367"/>
      <c r="P298" s="336">
        <f>M298*R298%</f>
        <v>27439.398000000001</v>
      </c>
      <c r="Q298" s="336">
        <f t="shared" si="10"/>
        <v>27439.398000000001</v>
      </c>
      <c r="R298" s="336">
        <v>1.05</v>
      </c>
      <c r="S298" s="308" t="s">
        <v>2524</v>
      </c>
      <c r="T298" s="65" t="s">
        <v>2322</v>
      </c>
      <c r="U298" s="62" t="s">
        <v>1713</v>
      </c>
    </row>
    <row r="299" spans="1:22" s="1367" customFormat="1" ht="37.5" x14ac:dyDescent="0.25">
      <c r="A299" s="8">
        <v>294</v>
      </c>
      <c r="B299" s="103" t="s">
        <v>1109</v>
      </c>
      <c r="C299" s="1388" t="s">
        <v>1550</v>
      </c>
      <c r="D299" s="105" t="s">
        <v>1111</v>
      </c>
      <c r="E299" s="14" t="s">
        <v>2752</v>
      </c>
      <c r="F299" s="62" t="s">
        <v>1114</v>
      </c>
      <c r="G299" s="14" t="s">
        <v>1115</v>
      </c>
      <c r="H299" s="65" t="s">
        <v>611</v>
      </c>
      <c r="I299" s="14"/>
      <c r="J299" s="177" t="s">
        <v>8</v>
      </c>
      <c r="K299" s="87">
        <v>0.28000000000000003</v>
      </c>
      <c r="L299" s="1378">
        <v>231.29</v>
      </c>
      <c r="M299" s="68">
        <v>647612</v>
      </c>
      <c r="N299" s="68" t="s">
        <v>1116</v>
      </c>
      <c r="O299" s="367"/>
      <c r="P299" s="336">
        <v>7123.72</v>
      </c>
      <c r="Q299" s="336">
        <f t="shared" si="10"/>
        <v>7123.72</v>
      </c>
      <c r="R299" s="336">
        <f>Q299*100/M299</f>
        <v>1.0999981470386591</v>
      </c>
      <c r="S299" s="308" t="s">
        <v>2574</v>
      </c>
      <c r="T299" s="1354" t="s">
        <v>1816</v>
      </c>
      <c r="U299" s="62" t="s">
        <v>1639</v>
      </c>
      <c r="V299" s="384"/>
    </row>
    <row r="300" spans="1:22" s="1367" customFormat="1" ht="56.25" x14ac:dyDescent="0.25">
      <c r="A300" s="8">
        <v>295</v>
      </c>
      <c r="B300" s="103" t="s">
        <v>1109</v>
      </c>
      <c r="C300" s="1388" t="s">
        <v>1550</v>
      </c>
      <c r="D300" s="105" t="s">
        <v>2749</v>
      </c>
      <c r="E300" s="14" t="s">
        <v>2753</v>
      </c>
      <c r="F300" s="62" t="s">
        <v>2754</v>
      </c>
      <c r="G300" s="14" t="s">
        <v>2755</v>
      </c>
      <c r="H300" s="65">
        <v>43698</v>
      </c>
      <c r="I300" s="14"/>
      <c r="J300" s="177" t="s">
        <v>8</v>
      </c>
      <c r="K300" s="87">
        <v>0.23480000000000001</v>
      </c>
      <c r="L300" s="1378">
        <f>M300/2348</f>
        <v>457.78999999999996</v>
      </c>
      <c r="M300" s="68">
        <v>1074890.92</v>
      </c>
      <c r="N300" s="68" t="s">
        <v>2756</v>
      </c>
      <c r="O300" s="367">
        <v>15048.46</v>
      </c>
      <c r="P300" s="336">
        <v>15048.46</v>
      </c>
      <c r="Q300" s="336">
        <f t="shared" si="10"/>
        <v>15048.46</v>
      </c>
      <c r="R300" s="336">
        <v>1.4</v>
      </c>
      <c r="S300" s="308">
        <v>45513</v>
      </c>
      <c r="T300" s="1354" t="s">
        <v>2757</v>
      </c>
      <c r="U300" s="62" t="s">
        <v>1634</v>
      </c>
      <c r="V300" s="384"/>
    </row>
    <row r="301" spans="1:22" s="1367" customFormat="1" ht="75" x14ac:dyDescent="0.25">
      <c r="A301" s="8">
        <v>296</v>
      </c>
      <c r="B301" s="97" t="s">
        <v>1117</v>
      </c>
      <c r="C301" s="14">
        <v>2794407658</v>
      </c>
      <c r="D301" s="8" t="s">
        <v>1119</v>
      </c>
      <c r="E301" s="62" t="s">
        <v>2674</v>
      </c>
      <c r="F301" s="62"/>
      <c r="G301" s="62" t="s">
        <v>1121</v>
      </c>
      <c r="H301" s="65" t="s">
        <v>1122</v>
      </c>
      <c r="I301" s="62" t="s">
        <v>1123</v>
      </c>
      <c r="J301" s="177" t="s">
        <v>8</v>
      </c>
      <c r="K301" s="90">
        <v>0.99729999999999996</v>
      </c>
      <c r="L301" s="68">
        <v>208.16</v>
      </c>
      <c r="M301" s="68">
        <v>2075979.68</v>
      </c>
      <c r="N301" s="68" t="s">
        <v>1124</v>
      </c>
      <c r="O301" s="367"/>
      <c r="P301" s="336">
        <f>M301*R301%</f>
        <v>62279.390399999997</v>
      </c>
      <c r="Q301" s="336">
        <f t="shared" si="10"/>
        <v>62279.390399999997</v>
      </c>
      <c r="R301" s="336">
        <v>3</v>
      </c>
      <c r="S301" s="1142">
        <v>44706</v>
      </c>
      <c r="T301" s="94" t="s">
        <v>1817</v>
      </c>
      <c r="U301" s="62" t="s">
        <v>1639</v>
      </c>
    </row>
    <row r="302" spans="1:22" s="1367" customFormat="1" ht="93.75" x14ac:dyDescent="0.25">
      <c r="A302" s="8">
        <v>297</v>
      </c>
      <c r="B302" s="97" t="s">
        <v>1125</v>
      </c>
      <c r="C302" s="8">
        <v>2565911353</v>
      </c>
      <c r="D302" s="8" t="s">
        <v>1127</v>
      </c>
      <c r="E302" s="62" t="s">
        <v>2675</v>
      </c>
      <c r="F302" s="62" t="s">
        <v>1129</v>
      </c>
      <c r="G302" s="62" t="s">
        <v>1130</v>
      </c>
      <c r="H302" s="65" t="s">
        <v>1131</v>
      </c>
      <c r="I302" s="62" t="s">
        <v>3451</v>
      </c>
      <c r="J302" s="177" t="s">
        <v>8</v>
      </c>
      <c r="K302" s="90">
        <v>0.1905</v>
      </c>
      <c r="L302" s="68">
        <v>457.79</v>
      </c>
      <c r="M302" s="68">
        <v>872089.95</v>
      </c>
      <c r="N302" s="68" t="s">
        <v>1132</v>
      </c>
      <c r="O302" s="367"/>
      <c r="P302" s="336">
        <f>M302*R302%</f>
        <v>9156.9444750000002</v>
      </c>
      <c r="Q302" s="336">
        <f t="shared" si="10"/>
        <v>9156.9444750000002</v>
      </c>
      <c r="R302" s="336">
        <v>1.05</v>
      </c>
      <c r="S302" s="308" t="s">
        <v>2573</v>
      </c>
      <c r="T302" s="91" t="s">
        <v>1818</v>
      </c>
      <c r="U302" s="62" t="s">
        <v>1679</v>
      </c>
      <c r="V302" s="384"/>
    </row>
    <row r="303" spans="1:22" s="1367" customFormat="1" ht="56.25" x14ac:dyDescent="0.25">
      <c r="A303" s="8">
        <v>298</v>
      </c>
      <c r="B303" s="97" t="s">
        <v>1908</v>
      </c>
      <c r="C303" s="8">
        <v>2071717171</v>
      </c>
      <c r="D303" s="14" t="s">
        <v>1134</v>
      </c>
      <c r="E303" s="1368" t="s">
        <v>1136</v>
      </c>
      <c r="F303" s="62" t="s">
        <v>1137</v>
      </c>
      <c r="G303" s="65" t="s">
        <v>1138</v>
      </c>
      <c r="H303" s="65" t="s">
        <v>1137</v>
      </c>
      <c r="I303" s="65" t="s">
        <v>1869</v>
      </c>
      <c r="J303" s="14" t="s">
        <v>8</v>
      </c>
      <c r="K303" s="90">
        <v>5.0000000000000001E-3</v>
      </c>
      <c r="L303" s="68">
        <v>853.15</v>
      </c>
      <c r="M303" s="68">
        <v>42657.5</v>
      </c>
      <c r="N303" s="68" t="s">
        <v>1909</v>
      </c>
      <c r="O303" s="367"/>
      <c r="P303" s="336">
        <f>M303*R303%</f>
        <v>3625.8875000000003</v>
      </c>
      <c r="Q303" s="336">
        <f t="shared" si="10"/>
        <v>3625.8875000000003</v>
      </c>
      <c r="R303" s="336">
        <v>8.5</v>
      </c>
      <c r="S303" s="308" t="s">
        <v>2575</v>
      </c>
      <c r="T303" s="65" t="s">
        <v>1819</v>
      </c>
      <c r="U303" s="62" t="s">
        <v>1634</v>
      </c>
      <c r="V303" s="384"/>
    </row>
    <row r="304" spans="1:22" s="1367" customFormat="1" ht="75" x14ac:dyDescent="0.25">
      <c r="A304" s="8">
        <v>299</v>
      </c>
      <c r="B304" s="97" t="s">
        <v>2323</v>
      </c>
      <c r="C304" s="8">
        <v>1976822299</v>
      </c>
      <c r="D304" s="16" t="s">
        <v>1140</v>
      </c>
      <c r="E304" s="65" t="s">
        <v>1142</v>
      </c>
      <c r="F304" s="62" t="s">
        <v>1551</v>
      </c>
      <c r="G304" s="65" t="s">
        <v>1143</v>
      </c>
      <c r="H304" s="65" t="s">
        <v>1552</v>
      </c>
      <c r="I304" s="65" t="s">
        <v>2504</v>
      </c>
      <c r="J304" s="14" t="s">
        <v>8</v>
      </c>
      <c r="K304" s="66">
        <v>3.6799999999999999E-2</v>
      </c>
      <c r="L304" s="67">
        <f>M304/368</f>
        <v>1889.2199999999998</v>
      </c>
      <c r="M304" s="68">
        <v>695232.96</v>
      </c>
      <c r="N304" s="68" t="s">
        <v>2324</v>
      </c>
      <c r="O304" s="367"/>
      <c r="P304" s="336">
        <f>M304*R304%</f>
        <v>20856.988799999999</v>
      </c>
      <c r="Q304" s="336">
        <f t="shared" si="10"/>
        <v>20856.988799999999</v>
      </c>
      <c r="R304" s="336">
        <v>3</v>
      </c>
      <c r="S304" s="308">
        <v>44697</v>
      </c>
      <c r="T304" s="1382" t="s">
        <v>1820</v>
      </c>
      <c r="U304" s="62" t="s">
        <v>1634</v>
      </c>
    </row>
    <row r="305" spans="1:22" s="1367" customFormat="1" ht="225" x14ac:dyDescent="0.25">
      <c r="A305" s="8">
        <v>300</v>
      </c>
      <c r="B305" s="97" t="s">
        <v>2805</v>
      </c>
      <c r="C305" s="8" t="s">
        <v>1144</v>
      </c>
      <c r="D305" s="16" t="s">
        <v>1145</v>
      </c>
      <c r="E305" s="62" t="s">
        <v>1147</v>
      </c>
      <c r="F305" s="62" t="s">
        <v>3422</v>
      </c>
      <c r="G305" s="62"/>
      <c r="H305" s="65">
        <v>41246</v>
      </c>
      <c r="I305" s="62"/>
      <c r="J305" s="14" t="s">
        <v>8</v>
      </c>
      <c r="K305" s="66">
        <v>5.7299999999999997E-2</v>
      </c>
      <c r="L305" s="67">
        <v>525.27</v>
      </c>
      <c r="M305" s="68">
        <v>300979.70999999996</v>
      </c>
      <c r="N305" s="68"/>
      <c r="O305" s="367"/>
      <c r="P305" s="336">
        <f>M305*R305%</f>
        <v>300.97970999999995</v>
      </c>
      <c r="Q305" s="336">
        <f t="shared" si="10"/>
        <v>300.97970999999995</v>
      </c>
      <c r="R305" s="336">
        <v>0.1</v>
      </c>
      <c r="S305" s="308">
        <v>43072</v>
      </c>
      <c r="T305" s="69" t="s">
        <v>1761</v>
      </c>
      <c r="U305" s="62"/>
      <c r="V305" s="1468">
        <v>509455613</v>
      </c>
    </row>
    <row r="306" spans="1:22" s="1367" customFormat="1" ht="150" customHeight="1" x14ac:dyDescent="0.25">
      <c r="A306" s="8">
        <v>301</v>
      </c>
      <c r="B306" s="97" t="s">
        <v>1148</v>
      </c>
      <c r="C306" s="8">
        <v>2422221277</v>
      </c>
      <c r="D306" s="16" t="s">
        <v>1150</v>
      </c>
      <c r="E306" s="14" t="s">
        <v>1152</v>
      </c>
      <c r="F306" s="62" t="s">
        <v>1153</v>
      </c>
      <c r="G306" s="14" t="s">
        <v>1154</v>
      </c>
      <c r="H306" s="65" t="s">
        <v>1553</v>
      </c>
      <c r="I306" s="14" t="s">
        <v>3709</v>
      </c>
      <c r="J306" s="14" t="s">
        <v>8</v>
      </c>
      <c r="K306" s="66">
        <v>2.5000000000000001E-3</v>
      </c>
      <c r="L306" s="70">
        <v>1972.7</v>
      </c>
      <c r="M306" s="68">
        <v>49317.5</v>
      </c>
      <c r="N306" s="68" t="s">
        <v>1156</v>
      </c>
      <c r="O306" s="367"/>
      <c r="P306" s="336">
        <f>M306*R306%</f>
        <v>2959.0499999999997</v>
      </c>
      <c r="Q306" s="336">
        <f t="shared" si="10"/>
        <v>2959.0499999999997</v>
      </c>
      <c r="R306" s="336">
        <v>6</v>
      </c>
      <c r="S306" s="308" t="s">
        <v>3710</v>
      </c>
      <c r="T306" s="69" t="s">
        <v>1780</v>
      </c>
      <c r="U306" s="62" t="s">
        <v>1634</v>
      </c>
    </row>
    <row r="307" spans="1:22" s="1367" customFormat="1" ht="56.25" x14ac:dyDescent="0.25">
      <c r="A307" s="8">
        <v>302</v>
      </c>
      <c r="B307" s="103" t="s">
        <v>2736</v>
      </c>
      <c r="C307" s="8">
        <v>1986302760</v>
      </c>
      <c r="D307" s="16" t="s">
        <v>2738</v>
      </c>
      <c r="E307" s="14" t="s">
        <v>2742</v>
      </c>
      <c r="F307" s="62" t="s">
        <v>2743</v>
      </c>
      <c r="G307" s="14" t="s">
        <v>2741</v>
      </c>
      <c r="H307" s="65" t="s">
        <v>2744</v>
      </c>
      <c r="I307" s="14"/>
      <c r="J307" s="14" t="s">
        <v>8</v>
      </c>
      <c r="K307" s="66">
        <v>5.5999999999999999E-3</v>
      </c>
      <c r="L307" s="70">
        <f>M307/56</f>
        <v>2043.2</v>
      </c>
      <c r="M307" s="68">
        <v>114419.2</v>
      </c>
      <c r="N307" s="68" t="s">
        <v>2745</v>
      </c>
      <c r="O307" s="367"/>
      <c r="P307" s="336">
        <f>M307*R307%</f>
        <v>9725.6319999999996</v>
      </c>
      <c r="Q307" s="336">
        <f t="shared" si="10"/>
        <v>9725.6319999999996</v>
      </c>
      <c r="R307" s="336">
        <v>8.5</v>
      </c>
      <c r="S307" s="308">
        <v>44772</v>
      </c>
      <c r="T307" s="69" t="s">
        <v>2746</v>
      </c>
      <c r="U307" s="62" t="s">
        <v>1634</v>
      </c>
      <c r="V307" s="384"/>
    </row>
    <row r="308" spans="1:22" s="1367" customFormat="1" ht="56.25" x14ac:dyDescent="0.25">
      <c r="A308" s="8">
        <v>303</v>
      </c>
      <c r="B308" s="103" t="s">
        <v>1157</v>
      </c>
      <c r="C308" s="8">
        <v>2225205869</v>
      </c>
      <c r="D308" s="16" t="s">
        <v>1159</v>
      </c>
      <c r="E308" s="14" t="s">
        <v>1161</v>
      </c>
      <c r="F308" s="62" t="s">
        <v>1162</v>
      </c>
      <c r="G308" s="14" t="s">
        <v>3205</v>
      </c>
      <c r="H308" s="65" t="s">
        <v>1162</v>
      </c>
      <c r="I308" s="14" t="s">
        <v>1163</v>
      </c>
      <c r="J308" s="14" t="s">
        <v>8</v>
      </c>
      <c r="K308" s="90">
        <v>3.2000000000000002E-3</v>
      </c>
      <c r="L308" s="68">
        <v>1972.75</v>
      </c>
      <c r="M308" s="68">
        <v>63128</v>
      </c>
      <c r="N308" s="68" t="s">
        <v>1164</v>
      </c>
      <c r="O308" s="367"/>
      <c r="P308" s="336">
        <f>M308*R308%</f>
        <v>6944.08</v>
      </c>
      <c r="Q308" s="336">
        <f t="shared" si="10"/>
        <v>6944.08</v>
      </c>
      <c r="R308" s="336">
        <v>11</v>
      </c>
      <c r="S308" s="308" t="s">
        <v>2542</v>
      </c>
      <c r="T308" s="91" t="s">
        <v>1752</v>
      </c>
      <c r="U308" s="62" t="s">
        <v>1634</v>
      </c>
      <c r="V308" s="384"/>
    </row>
    <row r="309" spans="1:22" s="1367" customFormat="1" ht="75" x14ac:dyDescent="0.25">
      <c r="A309" s="8">
        <v>304</v>
      </c>
      <c r="B309" s="97" t="s">
        <v>1175</v>
      </c>
      <c r="C309" s="14">
        <v>2714808837</v>
      </c>
      <c r="D309" s="8" t="s">
        <v>1176</v>
      </c>
      <c r="E309" s="92" t="s">
        <v>1178</v>
      </c>
      <c r="F309" s="1395" t="s">
        <v>1165</v>
      </c>
      <c r="G309" s="1394" t="s">
        <v>1179</v>
      </c>
      <c r="H309" s="1396" t="s">
        <v>1556</v>
      </c>
      <c r="I309" s="1394"/>
      <c r="J309" s="14" t="s">
        <v>8</v>
      </c>
      <c r="K309" s="90">
        <v>5.16E-2</v>
      </c>
      <c r="L309" s="67">
        <v>2043.19</v>
      </c>
      <c r="M309" s="68">
        <v>1054286.04</v>
      </c>
      <c r="N309" s="68" t="s">
        <v>1180</v>
      </c>
      <c r="O309" s="1125"/>
      <c r="P309" s="336">
        <v>105428.6</v>
      </c>
      <c r="Q309" s="394">
        <v>76072.62</v>
      </c>
      <c r="R309" s="394" t="s">
        <v>3790</v>
      </c>
      <c r="S309" s="308" t="s">
        <v>2610</v>
      </c>
      <c r="T309" s="14" t="s">
        <v>1822</v>
      </c>
      <c r="U309" s="62" t="s">
        <v>1634</v>
      </c>
      <c r="V309" s="384"/>
    </row>
    <row r="310" spans="1:22" s="1367" customFormat="1" ht="56.25" x14ac:dyDescent="0.25">
      <c r="A310" s="8">
        <v>305</v>
      </c>
      <c r="B310" s="97" t="s">
        <v>2806</v>
      </c>
      <c r="C310" s="14">
        <v>2112819299</v>
      </c>
      <c r="D310" s="8" t="s">
        <v>1182</v>
      </c>
      <c r="E310" s="14" t="s">
        <v>2676</v>
      </c>
      <c r="F310" s="178" t="s">
        <v>1557</v>
      </c>
      <c r="G310" s="177"/>
      <c r="H310" s="1382" t="s">
        <v>1558</v>
      </c>
      <c r="I310" s="177"/>
      <c r="J310" s="177" t="s">
        <v>8</v>
      </c>
      <c r="K310" s="90">
        <v>8.1900000000000001E-2</v>
      </c>
      <c r="L310" s="67">
        <v>296.52999999999997</v>
      </c>
      <c r="M310" s="68">
        <v>242858.06999999998</v>
      </c>
      <c r="N310" s="68" t="s">
        <v>1185</v>
      </c>
      <c r="O310" s="367"/>
      <c r="P310" s="336">
        <f>M310*R310%</f>
        <v>242.85806999999997</v>
      </c>
      <c r="Q310" s="336">
        <f t="shared" si="10"/>
        <v>242.85806999999997</v>
      </c>
      <c r="R310" s="336">
        <v>0.1</v>
      </c>
      <c r="S310" s="308" t="s">
        <v>2611</v>
      </c>
      <c r="T310" s="94" t="s">
        <v>1741</v>
      </c>
      <c r="U310" s="62"/>
    </row>
    <row r="311" spans="1:22" s="1367" customFormat="1" ht="75" x14ac:dyDescent="0.25">
      <c r="A311" s="8">
        <v>306</v>
      </c>
      <c r="B311" s="103" t="s">
        <v>1186</v>
      </c>
      <c r="C311" s="14">
        <v>1780303268</v>
      </c>
      <c r="D311" s="8" t="s">
        <v>1188</v>
      </c>
      <c r="E311" s="63" t="s">
        <v>1191</v>
      </c>
      <c r="F311" s="679" t="s">
        <v>1559</v>
      </c>
      <c r="G311" s="1409" t="s">
        <v>1192</v>
      </c>
      <c r="H311" s="1404" t="s">
        <v>1560</v>
      </c>
      <c r="I311" s="1409"/>
      <c r="J311" s="177" t="s">
        <v>8</v>
      </c>
      <c r="K311" s="90">
        <v>8.5000000000000006E-2</v>
      </c>
      <c r="L311" s="67">
        <v>1223.58</v>
      </c>
      <c r="M311" s="68">
        <v>1040051.5</v>
      </c>
      <c r="N311" s="68" t="s">
        <v>1193</v>
      </c>
      <c r="O311" s="367"/>
      <c r="P311" s="336">
        <v>32293.62</v>
      </c>
      <c r="Q311" s="336">
        <f t="shared" si="10"/>
        <v>32293.62</v>
      </c>
      <c r="R311" s="336">
        <v>3.105</v>
      </c>
      <c r="S311" s="308" t="s">
        <v>2612</v>
      </c>
      <c r="T311" s="94" t="s">
        <v>1823</v>
      </c>
      <c r="U311" s="669" t="s">
        <v>1634</v>
      </c>
      <c r="V311" s="384"/>
    </row>
    <row r="312" spans="1:22" s="1367" customFormat="1" ht="75" x14ac:dyDescent="0.25">
      <c r="A312" s="8">
        <v>307</v>
      </c>
      <c r="B312" s="103" t="s">
        <v>1946</v>
      </c>
      <c r="C312" s="8">
        <v>2132515774</v>
      </c>
      <c r="D312" s="16" t="s">
        <v>1194</v>
      </c>
      <c r="E312" s="63" t="s">
        <v>3626</v>
      </c>
      <c r="F312" s="62" t="s">
        <v>3743</v>
      </c>
      <c r="G312" s="14" t="s">
        <v>3627</v>
      </c>
      <c r="H312" s="65">
        <v>42277</v>
      </c>
      <c r="I312" s="14" t="s">
        <v>3741</v>
      </c>
      <c r="J312" s="14" t="s">
        <v>8</v>
      </c>
      <c r="K312" s="90">
        <v>4.7999999999999996E-3</v>
      </c>
      <c r="L312" s="68">
        <f>M312/48</f>
        <v>1906.9799999999998</v>
      </c>
      <c r="M312" s="68">
        <v>91535.039999999994</v>
      </c>
      <c r="N312" s="68" t="s">
        <v>3298</v>
      </c>
      <c r="O312" s="367"/>
      <c r="P312" s="336">
        <f>M312*R312%</f>
        <v>10068.8544</v>
      </c>
      <c r="Q312" s="336">
        <f t="shared" si="10"/>
        <v>10068.8544</v>
      </c>
      <c r="R312" s="336">
        <v>11</v>
      </c>
      <c r="S312" s="308" t="s">
        <v>3742</v>
      </c>
      <c r="T312" s="1387" t="s">
        <v>1643</v>
      </c>
      <c r="U312" s="62" t="s">
        <v>1634</v>
      </c>
    </row>
    <row r="313" spans="1:22" s="1367" customFormat="1" ht="56.25" x14ac:dyDescent="0.25">
      <c r="A313" s="8">
        <v>308</v>
      </c>
      <c r="B313" s="103" t="s">
        <v>1196</v>
      </c>
      <c r="C313" s="8">
        <v>1362312358</v>
      </c>
      <c r="D313" s="16" t="s">
        <v>1198</v>
      </c>
      <c r="E313" s="63" t="s">
        <v>1200</v>
      </c>
      <c r="F313" s="81" t="s">
        <v>1561</v>
      </c>
      <c r="G313" s="63" t="s">
        <v>1200</v>
      </c>
      <c r="H313" s="93" t="s">
        <v>1476</v>
      </c>
      <c r="I313" s="63"/>
      <c r="J313" s="14" t="s">
        <v>8</v>
      </c>
      <c r="K313" s="90">
        <v>4.0599999999999997E-2</v>
      </c>
      <c r="L313" s="68">
        <v>249.58</v>
      </c>
      <c r="M313" s="68">
        <v>101329.48000000001</v>
      </c>
      <c r="N313" s="68" t="s">
        <v>1201</v>
      </c>
      <c r="O313" s="367"/>
      <c r="P313" s="336">
        <f>M313*R313%</f>
        <v>101.32948000000002</v>
      </c>
      <c r="Q313" s="336">
        <f t="shared" si="10"/>
        <v>101.32948000000002</v>
      </c>
      <c r="R313" s="336">
        <v>0.1</v>
      </c>
      <c r="S313" s="308" t="s">
        <v>2576</v>
      </c>
      <c r="T313" s="1387" t="s">
        <v>1791</v>
      </c>
      <c r="U313" s="62" t="s">
        <v>1824</v>
      </c>
    </row>
    <row r="314" spans="1:22" s="1367" customFormat="1" ht="56.25" x14ac:dyDescent="0.25">
      <c r="A314" s="8">
        <v>309</v>
      </c>
      <c r="B314" s="103" t="s">
        <v>2047</v>
      </c>
      <c r="C314" s="8">
        <v>2900616141</v>
      </c>
      <c r="D314" s="16" t="s">
        <v>1202</v>
      </c>
      <c r="E314" s="63" t="s">
        <v>2042</v>
      </c>
      <c r="F314" s="81" t="s">
        <v>2043</v>
      </c>
      <c r="G314" s="63" t="s">
        <v>2044</v>
      </c>
      <c r="H314" s="93">
        <v>42726</v>
      </c>
      <c r="I314" s="63"/>
      <c r="J314" s="14" t="s">
        <v>8</v>
      </c>
      <c r="K314" s="90">
        <v>5.8999999999999999E-3</v>
      </c>
      <c r="L314" s="68">
        <f>M314/59</f>
        <v>931.18999999999994</v>
      </c>
      <c r="M314" s="68">
        <v>54940.21</v>
      </c>
      <c r="N314" s="1416" t="s">
        <v>2045</v>
      </c>
      <c r="O314" s="1447"/>
      <c r="P314" s="336">
        <f>M314*R314%</f>
        <v>6043.4231</v>
      </c>
      <c r="Q314" s="336">
        <f t="shared" si="10"/>
        <v>6043.4231</v>
      </c>
      <c r="R314" s="336">
        <v>11</v>
      </c>
      <c r="S314" s="308">
        <v>43821</v>
      </c>
      <c r="T314" s="1387" t="s">
        <v>1752</v>
      </c>
      <c r="U314" s="62" t="s">
        <v>1634</v>
      </c>
      <c r="V314" s="384"/>
    </row>
    <row r="315" spans="1:22" s="1367" customFormat="1" ht="37.5" x14ac:dyDescent="0.25">
      <c r="A315" s="8">
        <v>310</v>
      </c>
      <c r="B315" s="97" t="s">
        <v>2807</v>
      </c>
      <c r="C315" s="8"/>
      <c r="D315" s="16"/>
      <c r="E315" s="14" t="s">
        <v>1205</v>
      </c>
      <c r="F315" s="62"/>
      <c r="G315" s="14"/>
      <c r="H315" s="65"/>
      <c r="I315" s="14"/>
      <c r="J315" s="14" t="s">
        <v>8</v>
      </c>
      <c r="K315" s="90">
        <v>2.53E-2</v>
      </c>
      <c r="L315" s="68"/>
      <c r="M315" s="68">
        <v>0</v>
      </c>
      <c r="N315" s="8"/>
      <c r="O315" s="367"/>
      <c r="P315" s="336">
        <f>M315*R315%</f>
        <v>0</v>
      </c>
      <c r="Q315" s="336">
        <f t="shared" si="10"/>
        <v>0</v>
      </c>
      <c r="R315" s="336">
        <v>0.1</v>
      </c>
      <c r="S315" s="308" t="s">
        <v>2613</v>
      </c>
      <c r="T315" s="91" t="s">
        <v>1774</v>
      </c>
      <c r="U315" s="62"/>
    </row>
    <row r="316" spans="1:22" s="1367" customFormat="1" ht="56.25" x14ac:dyDescent="0.25">
      <c r="A316" s="8">
        <v>311</v>
      </c>
      <c r="B316" s="97" t="s">
        <v>2127</v>
      </c>
      <c r="C316" s="8" t="s">
        <v>1562</v>
      </c>
      <c r="D316" s="16" t="s">
        <v>1207</v>
      </c>
      <c r="E316" s="14" t="s">
        <v>1209</v>
      </c>
      <c r="F316" s="62" t="s">
        <v>1210</v>
      </c>
      <c r="G316" s="14" t="s">
        <v>1211</v>
      </c>
      <c r="H316" s="65" t="s">
        <v>1212</v>
      </c>
      <c r="I316" s="14"/>
      <c r="J316" s="14" t="s">
        <v>8</v>
      </c>
      <c r="K316" s="90">
        <v>6.0000000000000001E-3</v>
      </c>
      <c r="L316" s="68">
        <f>M316/60</f>
        <v>641.66</v>
      </c>
      <c r="M316" s="68">
        <v>38499.599999999999</v>
      </c>
      <c r="N316" s="8" t="s">
        <v>1213</v>
      </c>
      <c r="O316" s="367" t="s">
        <v>2128</v>
      </c>
      <c r="P316" s="336">
        <v>6375.36</v>
      </c>
      <c r="Q316" s="336">
        <v>6375.36</v>
      </c>
      <c r="R316" s="336">
        <v>16.559999999999999</v>
      </c>
      <c r="S316" s="308">
        <v>44544</v>
      </c>
      <c r="T316" s="91" t="s">
        <v>1727</v>
      </c>
      <c r="U316" s="62" t="s">
        <v>1634</v>
      </c>
    </row>
    <row r="317" spans="1:22" s="1367" customFormat="1" ht="75" x14ac:dyDescent="0.25">
      <c r="A317" s="8">
        <v>312</v>
      </c>
      <c r="B317" s="103" t="s">
        <v>3258</v>
      </c>
      <c r="C317" s="8" t="s">
        <v>3259</v>
      </c>
      <c r="D317" s="16" t="s">
        <v>3261</v>
      </c>
      <c r="E317" s="14" t="s">
        <v>3264</v>
      </c>
      <c r="F317" s="62" t="s">
        <v>3265</v>
      </c>
      <c r="G317" s="14" t="s">
        <v>3266</v>
      </c>
      <c r="H317" s="65">
        <v>43811</v>
      </c>
      <c r="I317" s="14"/>
      <c r="J317" s="14" t="s">
        <v>8</v>
      </c>
      <c r="K317" s="66">
        <v>2.0299999999999999E-2</v>
      </c>
      <c r="L317" s="70">
        <f>M317/203</f>
        <v>260.11</v>
      </c>
      <c r="M317" s="68">
        <v>52802.33</v>
      </c>
      <c r="N317" s="8" t="s">
        <v>3267</v>
      </c>
      <c r="O317" s="367"/>
      <c r="P317" s="336">
        <f>M317*R317%</f>
        <v>264.01165000000003</v>
      </c>
      <c r="Q317" s="336">
        <f>P317</f>
        <v>264.01165000000003</v>
      </c>
      <c r="R317" s="336">
        <v>0.5</v>
      </c>
      <c r="S317" s="308" t="s">
        <v>3268</v>
      </c>
      <c r="T317" s="91" t="s">
        <v>3269</v>
      </c>
      <c r="U317" s="62" t="s">
        <v>1768</v>
      </c>
      <c r="V317" s="384">
        <v>501812977</v>
      </c>
    </row>
    <row r="318" spans="1:22" s="1367" customFormat="1" ht="56.25" x14ac:dyDescent="0.25">
      <c r="A318" s="8">
        <v>313</v>
      </c>
      <c r="B318" s="97" t="s">
        <v>2466</v>
      </c>
      <c r="C318" s="14">
        <v>2940008072</v>
      </c>
      <c r="D318" s="16" t="s">
        <v>297</v>
      </c>
      <c r="E318" s="65" t="s">
        <v>2470</v>
      </c>
      <c r="F318" s="62" t="s">
        <v>2471</v>
      </c>
      <c r="G318" s="65" t="s">
        <v>2472</v>
      </c>
      <c r="H318" s="65">
        <v>43630</v>
      </c>
      <c r="I318" s="65"/>
      <c r="J318" s="14" t="s">
        <v>8</v>
      </c>
      <c r="K318" s="87">
        <v>0.17399999999999999</v>
      </c>
      <c r="L318" s="88">
        <f>M318/1740</f>
        <v>372.47999999999996</v>
      </c>
      <c r="M318" s="68">
        <f>648115.2</f>
        <v>648115.19999999995</v>
      </c>
      <c r="N318" s="68" t="s">
        <v>2473</v>
      </c>
      <c r="O318" s="367"/>
      <c r="P318" s="336">
        <f>M318*R318%</f>
        <v>972.17279999999994</v>
      </c>
      <c r="Q318" s="336">
        <f>P318</f>
        <v>972.17279999999994</v>
      </c>
      <c r="R318" s="336">
        <v>0.15</v>
      </c>
      <c r="S318" s="308" t="s">
        <v>2474</v>
      </c>
      <c r="T318" s="93" t="s">
        <v>1672</v>
      </c>
      <c r="U318" s="62" t="s">
        <v>2475</v>
      </c>
    </row>
    <row r="319" spans="1:22" s="1367" customFormat="1" ht="56.25" x14ac:dyDescent="0.25">
      <c r="A319" s="8">
        <v>314</v>
      </c>
      <c r="B319" s="103" t="s">
        <v>3812</v>
      </c>
      <c r="C319" s="50">
        <v>2411701603</v>
      </c>
      <c r="D319" s="16" t="s">
        <v>3813</v>
      </c>
      <c r="E319" s="62" t="s">
        <v>3814</v>
      </c>
      <c r="F319" s="62" t="s">
        <v>3815</v>
      </c>
      <c r="G319" s="62" t="s">
        <v>3816</v>
      </c>
      <c r="H319" s="65">
        <v>44065</v>
      </c>
      <c r="I319" s="62"/>
      <c r="J319" s="14" t="s">
        <v>8</v>
      </c>
      <c r="K319" s="66">
        <v>4.8800000000000003E-2</v>
      </c>
      <c r="L319" s="70">
        <f>M319/488</f>
        <v>223.69</v>
      </c>
      <c r="M319" s="68">
        <v>109160.72</v>
      </c>
      <c r="N319" s="8" t="s">
        <v>3817</v>
      </c>
      <c r="O319" s="367"/>
      <c r="P319" s="336">
        <v>545.79999999999995</v>
      </c>
      <c r="Q319" s="336">
        <v>545.79999999999995</v>
      </c>
      <c r="R319" s="336">
        <v>0.5</v>
      </c>
      <c r="S319" s="308">
        <v>45139</v>
      </c>
      <c r="T319" s="94" t="s">
        <v>1791</v>
      </c>
      <c r="U319" s="62" t="s">
        <v>3818</v>
      </c>
    </row>
    <row r="320" spans="1:22" s="1367" customFormat="1" ht="97.5" x14ac:dyDescent="0.25">
      <c r="A320" s="8">
        <v>315</v>
      </c>
      <c r="B320" s="1372" t="s">
        <v>1218</v>
      </c>
      <c r="C320" s="8">
        <v>3008907858</v>
      </c>
      <c r="D320" s="8" t="s">
        <v>1220</v>
      </c>
      <c r="E320" s="62" t="s">
        <v>1222</v>
      </c>
      <c r="F320" s="62" t="s">
        <v>1565</v>
      </c>
      <c r="G320" s="62" t="s">
        <v>1223</v>
      </c>
      <c r="H320" s="65" t="s">
        <v>1224</v>
      </c>
      <c r="I320" s="1424" t="s">
        <v>3253</v>
      </c>
      <c r="J320" s="14" t="s">
        <v>8</v>
      </c>
      <c r="K320" s="90">
        <v>1.6299999999999999E-2</v>
      </c>
      <c r="L320" s="70">
        <v>1716.69</v>
      </c>
      <c r="M320" s="68">
        <v>279820.46999999997</v>
      </c>
      <c r="N320" s="8" t="s">
        <v>1225</v>
      </c>
      <c r="O320" s="367">
        <v>24379.34</v>
      </c>
      <c r="P320" s="336">
        <f>M320*R320%</f>
        <v>8394.6140999999989</v>
      </c>
      <c r="Q320" s="336">
        <f>P320</f>
        <v>8394.6140999999989</v>
      </c>
      <c r="R320" s="336">
        <v>3</v>
      </c>
      <c r="S320" s="308">
        <v>44756</v>
      </c>
      <c r="T320" s="1387" t="s">
        <v>1759</v>
      </c>
      <c r="U320" s="62" t="s">
        <v>1634</v>
      </c>
    </row>
    <row r="321" spans="1:22" s="1367" customFormat="1" ht="56.25" x14ac:dyDescent="0.25">
      <c r="A321" s="8">
        <v>316</v>
      </c>
      <c r="B321" s="103" t="s">
        <v>2408</v>
      </c>
      <c r="C321" s="8">
        <v>2495020462</v>
      </c>
      <c r="D321" s="8" t="s">
        <v>1911</v>
      </c>
      <c r="E321" s="62" t="s">
        <v>1913</v>
      </c>
      <c r="F321" s="62"/>
      <c r="G321" s="62" t="s">
        <v>1914</v>
      </c>
      <c r="H321" s="65" t="s">
        <v>1915</v>
      </c>
      <c r="I321" s="62" t="s">
        <v>1916</v>
      </c>
      <c r="J321" s="14" t="s">
        <v>8</v>
      </c>
      <c r="K321" s="66">
        <v>2.3999999999999998E-3</v>
      </c>
      <c r="L321" s="70">
        <v>1163.98</v>
      </c>
      <c r="M321" s="68">
        <v>27935.52</v>
      </c>
      <c r="N321" s="8" t="s">
        <v>1917</v>
      </c>
      <c r="O321" s="367"/>
      <c r="P321" s="336">
        <f>M321*R321%</f>
        <v>3072.9072000000001</v>
      </c>
      <c r="Q321" s="1448">
        <v>3072.91</v>
      </c>
      <c r="R321" s="336">
        <v>11</v>
      </c>
      <c r="S321" s="308" t="s">
        <v>2614</v>
      </c>
      <c r="T321" s="1387" t="s">
        <v>1752</v>
      </c>
      <c r="U321" s="62" t="s">
        <v>1634</v>
      </c>
    </row>
    <row r="322" spans="1:22" s="1367" customFormat="1" ht="56.25" x14ac:dyDescent="0.25">
      <c r="A322" s="8">
        <v>317</v>
      </c>
      <c r="B322" s="103" t="s">
        <v>2429</v>
      </c>
      <c r="C322" s="8">
        <v>1729301739</v>
      </c>
      <c r="D322" s="8" t="s">
        <v>2431</v>
      </c>
      <c r="E322" s="62" t="s">
        <v>2434</v>
      </c>
      <c r="F322" s="62" t="s">
        <v>2419</v>
      </c>
      <c r="G322" s="62" t="s">
        <v>2435</v>
      </c>
      <c r="H322" s="65">
        <v>43626</v>
      </c>
      <c r="I322" s="62"/>
      <c r="J322" s="14" t="s">
        <v>8</v>
      </c>
      <c r="K322" s="66">
        <v>9.1999999999999998E-3</v>
      </c>
      <c r="L322" s="70">
        <f>M322/92</f>
        <v>1836.14</v>
      </c>
      <c r="M322" s="68">
        <v>168924.88</v>
      </c>
      <c r="N322" s="8" t="s">
        <v>2436</v>
      </c>
      <c r="O322" s="367">
        <v>17990.47</v>
      </c>
      <c r="P322" s="336">
        <v>17990.47</v>
      </c>
      <c r="Q322" s="336">
        <f>P322</f>
        <v>17990.47</v>
      </c>
      <c r="R322" s="336">
        <v>10.65</v>
      </c>
      <c r="S322" s="308">
        <v>45441</v>
      </c>
      <c r="T322" s="1387" t="s">
        <v>3287</v>
      </c>
      <c r="U322" s="62" t="s">
        <v>1634</v>
      </c>
    </row>
    <row r="323" spans="1:22" s="1367" customFormat="1" ht="56.25" x14ac:dyDescent="0.25">
      <c r="A323" s="8">
        <v>318</v>
      </c>
      <c r="B323" s="97" t="s">
        <v>2084</v>
      </c>
      <c r="C323" s="8">
        <v>2214801788</v>
      </c>
      <c r="D323" s="8" t="s">
        <v>1226</v>
      </c>
      <c r="E323" s="62" t="s">
        <v>2087</v>
      </c>
      <c r="F323" s="62"/>
      <c r="G323" s="62" t="s">
        <v>2088</v>
      </c>
      <c r="H323" s="65" t="s">
        <v>2089</v>
      </c>
      <c r="I323" s="62" t="s">
        <v>2280</v>
      </c>
      <c r="J323" s="14" t="s">
        <v>8</v>
      </c>
      <c r="K323" s="90">
        <v>2E-3</v>
      </c>
      <c r="L323" s="68">
        <f>M323/20</f>
        <v>853.15</v>
      </c>
      <c r="M323" s="68">
        <v>17063</v>
      </c>
      <c r="N323" s="8" t="s">
        <v>2090</v>
      </c>
      <c r="O323" s="367"/>
      <c r="P323" s="336">
        <f>M323*R323%</f>
        <v>1023.78</v>
      </c>
      <c r="Q323" s="1448">
        <v>1023.79</v>
      </c>
      <c r="R323" s="336">
        <v>6</v>
      </c>
      <c r="S323" s="308" t="s">
        <v>2593</v>
      </c>
      <c r="T323" s="91" t="s">
        <v>1780</v>
      </c>
      <c r="U323" s="62" t="s">
        <v>1634</v>
      </c>
    </row>
    <row r="324" spans="1:22" s="1367" customFormat="1" ht="96.75" x14ac:dyDescent="0.25">
      <c r="A324" s="8">
        <v>319</v>
      </c>
      <c r="B324" s="1410" t="s">
        <v>3656</v>
      </c>
      <c r="C324" s="14" t="s">
        <v>3660</v>
      </c>
      <c r="D324" s="8" t="s">
        <v>1413</v>
      </c>
      <c r="E324" s="62" t="s">
        <v>2779</v>
      </c>
      <c r="F324" s="384"/>
      <c r="G324" s="62" t="s">
        <v>2780</v>
      </c>
      <c r="H324" s="65" t="s">
        <v>2781</v>
      </c>
      <c r="I324" s="62" t="s">
        <v>2020</v>
      </c>
      <c r="J324" s="14" t="s">
        <v>8</v>
      </c>
      <c r="K324" s="90">
        <v>0.14299999999999999</v>
      </c>
      <c r="L324" s="68">
        <v>1318.74</v>
      </c>
      <c r="M324" s="68">
        <f>L324*1430</f>
        <v>1885798.2</v>
      </c>
      <c r="N324" s="68" t="s">
        <v>2019</v>
      </c>
      <c r="O324" s="367"/>
      <c r="P324" s="336">
        <f>M324*R324%</f>
        <v>18857.982</v>
      </c>
      <c r="Q324" s="336">
        <f>P324</f>
        <v>18857.982</v>
      </c>
      <c r="R324" s="336">
        <v>1</v>
      </c>
      <c r="S324" s="308" t="s">
        <v>2573</v>
      </c>
      <c r="T324" s="89" t="s">
        <v>2021</v>
      </c>
      <c r="U324" s="62" t="s">
        <v>1634</v>
      </c>
    </row>
    <row r="325" spans="1:22" s="1367" customFormat="1" ht="56.25" x14ac:dyDescent="0.25">
      <c r="A325" s="8">
        <v>320</v>
      </c>
      <c r="B325" s="103" t="s">
        <v>3599</v>
      </c>
      <c r="C325" s="8">
        <v>3002701664</v>
      </c>
      <c r="D325" s="14" t="s">
        <v>902</v>
      </c>
      <c r="E325" s="92" t="s">
        <v>3600</v>
      </c>
      <c r="F325" s="86" t="s">
        <v>3601</v>
      </c>
      <c r="G325" s="92" t="s">
        <v>3602</v>
      </c>
      <c r="H325" s="92" t="s">
        <v>3603</v>
      </c>
      <c r="I325" s="92"/>
      <c r="J325" s="14" t="s">
        <v>8</v>
      </c>
      <c r="K325" s="90">
        <v>5.0000000000000001E-3</v>
      </c>
      <c r="L325" s="68">
        <f>M325/50</f>
        <v>1836.14</v>
      </c>
      <c r="M325" s="68">
        <v>91807</v>
      </c>
      <c r="N325" s="8" t="s">
        <v>3204</v>
      </c>
      <c r="O325" s="367"/>
      <c r="P325" s="336">
        <f>M325*R325%</f>
        <v>7344.56</v>
      </c>
      <c r="Q325" s="336">
        <v>5059.59</v>
      </c>
      <c r="R325" s="336">
        <v>8</v>
      </c>
      <c r="S325" s="308">
        <v>45011</v>
      </c>
      <c r="T325" s="65" t="s">
        <v>3604</v>
      </c>
      <c r="U325" s="62" t="s">
        <v>1634</v>
      </c>
    </row>
    <row r="326" spans="1:22" s="1367" customFormat="1" ht="56.25" x14ac:dyDescent="0.25">
      <c r="A326" s="8">
        <v>321</v>
      </c>
      <c r="B326" s="103" t="s">
        <v>1968</v>
      </c>
      <c r="C326" s="8">
        <v>2328401830</v>
      </c>
      <c r="D326" s="8" t="s">
        <v>1229</v>
      </c>
      <c r="E326" s="62" t="s">
        <v>1969</v>
      </c>
      <c r="F326" s="62" t="s">
        <v>1970</v>
      </c>
      <c r="G326" s="62" t="s">
        <v>1971</v>
      </c>
      <c r="H326" s="65" t="s">
        <v>1566</v>
      </c>
      <c r="I326" s="14" t="s">
        <v>2115</v>
      </c>
      <c r="J326" s="14" t="s">
        <v>8</v>
      </c>
      <c r="K326" s="66">
        <v>8.4599999999999995E-2</v>
      </c>
      <c r="L326" s="70">
        <f>M326/846</f>
        <v>510.28550827423163</v>
      </c>
      <c r="M326" s="68">
        <v>431701.54</v>
      </c>
      <c r="N326" s="8" t="s">
        <v>1972</v>
      </c>
      <c r="O326" s="1392" t="s">
        <v>2116</v>
      </c>
      <c r="P326" s="336">
        <v>45114.54</v>
      </c>
      <c r="Q326" s="336">
        <f t="shared" ref="Q326:Q331" si="11">P326</f>
        <v>45114.54</v>
      </c>
      <c r="R326" s="336">
        <f>P326*100/M326</f>
        <v>10.450400524399335</v>
      </c>
      <c r="S326" s="308">
        <v>44458</v>
      </c>
      <c r="T326" s="65" t="s">
        <v>1973</v>
      </c>
      <c r="U326" s="62" t="s">
        <v>1634</v>
      </c>
      <c r="V326" s="1469" t="s">
        <v>2476</v>
      </c>
    </row>
    <row r="327" spans="1:22" s="1367" customFormat="1" ht="96.75" x14ac:dyDescent="0.25">
      <c r="A327" s="8">
        <v>322</v>
      </c>
      <c r="B327" s="97" t="s">
        <v>3922</v>
      </c>
      <c r="C327" s="8" t="s">
        <v>3923</v>
      </c>
      <c r="D327" s="8" t="s">
        <v>1231</v>
      </c>
      <c r="E327" s="62" t="s">
        <v>3924</v>
      </c>
      <c r="F327" s="62" t="s">
        <v>3925</v>
      </c>
      <c r="G327" s="62" t="s">
        <v>3926</v>
      </c>
      <c r="H327" s="65" t="s">
        <v>3927</v>
      </c>
      <c r="I327" s="86"/>
      <c r="J327" s="14" t="s">
        <v>8</v>
      </c>
      <c r="K327" s="90">
        <v>3.5999999999999999E-3</v>
      </c>
      <c r="L327" s="68">
        <f>M327/36</f>
        <v>1329.62</v>
      </c>
      <c r="M327" s="68">
        <v>47866.32</v>
      </c>
      <c r="N327" s="8" t="s">
        <v>3406</v>
      </c>
      <c r="O327" s="367">
        <v>4809.1000000000004</v>
      </c>
      <c r="P327" s="336">
        <v>5097.6499999999996</v>
      </c>
      <c r="Q327" s="336">
        <f t="shared" si="11"/>
        <v>5097.6499999999996</v>
      </c>
      <c r="R327" s="336">
        <v>10.65</v>
      </c>
      <c r="S327" s="308">
        <v>44314</v>
      </c>
      <c r="T327" s="1387" t="s">
        <v>1727</v>
      </c>
      <c r="U327" s="62" t="s">
        <v>1634</v>
      </c>
    </row>
    <row r="328" spans="1:22" s="1367" customFormat="1" ht="75" x14ac:dyDescent="0.25">
      <c r="A328" s="8">
        <v>323</v>
      </c>
      <c r="B328" s="103" t="s">
        <v>2040</v>
      </c>
      <c r="C328" s="14">
        <v>2488315683</v>
      </c>
      <c r="D328" s="8" t="s">
        <v>1233</v>
      </c>
      <c r="E328" s="62" t="s">
        <v>2677</v>
      </c>
      <c r="F328" s="62"/>
      <c r="G328" s="62" t="s">
        <v>1234</v>
      </c>
      <c r="H328" s="65" t="s">
        <v>1567</v>
      </c>
      <c r="I328" s="1411"/>
      <c r="J328" s="14" t="s">
        <v>8</v>
      </c>
      <c r="K328" s="90">
        <v>2.5999999999999999E-3</v>
      </c>
      <c r="L328" s="68">
        <v>853.11</v>
      </c>
      <c r="M328" s="68">
        <v>22181.9</v>
      </c>
      <c r="N328" s="68" t="s">
        <v>3407</v>
      </c>
      <c r="O328" s="367"/>
      <c r="P328" s="336">
        <f>M328*R328%</f>
        <v>2440.009</v>
      </c>
      <c r="Q328" s="336">
        <f t="shared" si="11"/>
        <v>2440.009</v>
      </c>
      <c r="R328" s="336">
        <v>11</v>
      </c>
      <c r="S328" s="308" t="s">
        <v>2914</v>
      </c>
      <c r="T328" s="50" t="s">
        <v>1827</v>
      </c>
      <c r="U328" s="62" t="s">
        <v>1634</v>
      </c>
    </row>
    <row r="329" spans="1:22" s="1367" customFormat="1" ht="75" x14ac:dyDescent="0.25">
      <c r="A329" s="8">
        <v>324</v>
      </c>
      <c r="B329" s="97" t="s">
        <v>3230</v>
      </c>
      <c r="C329" s="14">
        <v>3000301294</v>
      </c>
      <c r="D329" s="8" t="s">
        <v>2264</v>
      </c>
      <c r="E329" s="14" t="s">
        <v>2267</v>
      </c>
      <c r="F329" s="62" t="s">
        <v>1859</v>
      </c>
      <c r="G329" s="14" t="s">
        <v>2268</v>
      </c>
      <c r="H329" s="65" t="s">
        <v>2269</v>
      </c>
      <c r="I329" s="14" t="s">
        <v>3270</v>
      </c>
      <c r="J329" s="14" t="s">
        <v>8</v>
      </c>
      <c r="K329" s="87">
        <v>0.126</v>
      </c>
      <c r="L329" s="88">
        <f>M329/1260</f>
        <v>769.02</v>
      </c>
      <c r="M329" s="68">
        <v>968965.2</v>
      </c>
      <c r="N329" s="68" t="s">
        <v>2270</v>
      </c>
      <c r="O329" s="367">
        <v>30231.68</v>
      </c>
      <c r="P329" s="336">
        <v>30231.68</v>
      </c>
      <c r="Q329" s="336">
        <f t="shared" si="11"/>
        <v>30231.68</v>
      </c>
      <c r="R329" s="336">
        <v>3.12</v>
      </c>
      <c r="S329" s="308" t="s">
        <v>2595</v>
      </c>
      <c r="T329" s="89" t="s">
        <v>3271</v>
      </c>
      <c r="U329" s="62" t="s">
        <v>1634</v>
      </c>
      <c r="V329" s="384"/>
    </row>
    <row r="330" spans="1:22" s="1367" customFormat="1" ht="75" x14ac:dyDescent="0.25">
      <c r="A330" s="8">
        <v>325</v>
      </c>
      <c r="B330" s="97" t="s">
        <v>1237</v>
      </c>
      <c r="C330" s="14">
        <v>2848911277</v>
      </c>
      <c r="D330" s="8" t="s">
        <v>1239</v>
      </c>
      <c r="E330" s="62" t="s">
        <v>3767</v>
      </c>
      <c r="F330" s="62" t="s">
        <v>3738</v>
      </c>
      <c r="G330" s="62" t="s">
        <v>3739</v>
      </c>
      <c r="H330" s="65" t="s">
        <v>3740</v>
      </c>
      <c r="I330" s="65">
        <v>44007</v>
      </c>
      <c r="J330" s="14" t="s">
        <v>8</v>
      </c>
      <c r="K330" s="87">
        <v>3.6200000000000003E-2</v>
      </c>
      <c r="L330" s="88">
        <f>M330/362</f>
        <v>240.18</v>
      </c>
      <c r="M330" s="68">
        <v>86945.16</v>
      </c>
      <c r="N330" s="8" t="s">
        <v>3629</v>
      </c>
      <c r="O330" s="367"/>
      <c r="P330" s="336">
        <f>M330*R330%</f>
        <v>434.72580000000005</v>
      </c>
      <c r="Q330" s="336">
        <f t="shared" si="11"/>
        <v>434.72580000000005</v>
      </c>
      <c r="R330" s="336">
        <v>0.5</v>
      </c>
      <c r="S330" s="308">
        <v>47582</v>
      </c>
      <c r="T330" s="89" t="s">
        <v>1829</v>
      </c>
      <c r="U330" s="62" t="s">
        <v>1824</v>
      </c>
      <c r="V330" s="384"/>
    </row>
    <row r="331" spans="1:22" s="1367" customFormat="1" ht="56.25" x14ac:dyDescent="0.25">
      <c r="A331" s="8">
        <v>326</v>
      </c>
      <c r="B331" s="103" t="s">
        <v>1997</v>
      </c>
      <c r="C331" s="8">
        <v>1981819234</v>
      </c>
      <c r="D331" s="1412" t="s">
        <v>1261</v>
      </c>
      <c r="E331" s="85" t="s">
        <v>1264</v>
      </c>
      <c r="F331" s="86" t="s">
        <v>1488</v>
      </c>
      <c r="G331" s="85" t="s">
        <v>1265</v>
      </c>
      <c r="H331" s="92" t="s">
        <v>1489</v>
      </c>
      <c r="I331" s="92"/>
      <c r="J331" s="14" t="s">
        <v>8</v>
      </c>
      <c r="K331" s="87">
        <v>5.8799999999999998E-2</v>
      </c>
      <c r="L331" s="88">
        <f>M331/588</f>
        <v>1615.24</v>
      </c>
      <c r="M331" s="68">
        <v>949761.12</v>
      </c>
      <c r="N331" s="68" t="s">
        <v>1266</v>
      </c>
      <c r="O331" s="367"/>
      <c r="P331" s="336">
        <v>29632.51</v>
      </c>
      <c r="Q331" s="336">
        <f t="shared" si="11"/>
        <v>29632.51</v>
      </c>
      <c r="R331" s="336">
        <v>3.12</v>
      </c>
      <c r="S331" s="308" t="s">
        <v>2590</v>
      </c>
      <c r="T331" s="63" t="s">
        <v>1832</v>
      </c>
      <c r="U331" s="62" t="s">
        <v>1713</v>
      </c>
      <c r="V331" s="384"/>
    </row>
    <row r="332" spans="1:22" s="1367" customFormat="1" ht="37.5" x14ac:dyDescent="0.25">
      <c r="A332" s="8">
        <v>327</v>
      </c>
      <c r="B332" s="1449" t="s">
        <v>1268</v>
      </c>
      <c r="C332" s="8">
        <v>2971415598</v>
      </c>
      <c r="D332" s="16" t="s">
        <v>1270</v>
      </c>
      <c r="E332" s="1370" t="s">
        <v>1272</v>
      </c>
      <c r="F332" s="86" t="s">
        <v>1569</v>
      </c>
      <c r="G332" s="92" t="s">
        <v>1273</v>
      </c>
      <c r="H332" s="92" t="s">
        <v>542</v>
      </c>
      <c r="I332" s="92"/>
      <c r="J332" s="14" t="s">
        <v>8</v>
      </c>
      <c r="K332" s="87">
        <v>2.8999999999999998E-3</v>
      </c>
      <c r="L332" s="88">
        <v>655.48</v>
      </c>
      <c r="M332" s="68">
        <v>19008.919999999998</v>
      </c>
      <c r="N332" s="68" t="s">
        <v>1274</v>
      </c>
      <c r="O332" s="367" t="s">
        <v>2126</v>
      </c>
      <c r="P332" s="336">
        <v>2444.8000000000002</v>
      </c>
      <c r="Q332" s="1448">
        <v>2444.8000000000002</v>
      </c>
      <c r="R332" s="336">
        <f>Q332*100/M332</f>
        <v>12.861330364902376</v>
      </c>
      <c r="S332" s="308">
        <v>44496</v>
      </c>
      <c r="T332" s="63" t="s">
        <v>1727</v>
      </c>
      <c r="U332" s="62" t="s">
        <v>1634</v>
      </c>
      <c r="V332" s="384"/>
    </row>
    <row r="333" spans="1:22" s="1367" customFormat="1" ht="77.25" x14ac:dyDescent="0.25">
      <c r="A333" s="8">
        <v>328</v>
      </c>
      <c r="B333" s="1417" t="s">
        <v>1275</v>
      </c>
      <c r="C333" s="8">
        <v>3470906102</v>
      </c>
      <c r="D333" s="16" t="s">
        <v>1277</v>
      </c>
      <c r="E333" s="1418" t="s">
        <v>1279</v>
      </c>
      <c r="F333" s="86" t="s">
        <v>1441</v>
      </c>
      <c r="G333" s="92" t="s">
        <v>1280</v>
      </c>
      <c r="H333" s="92" t="s">
        <v>1570</v>
      </c>
      <c r="I333" s="92" t="s">
        <v>3711</v>
      </c>
      <c r="J333" s="14" t="s">
        <v>8</v>
      </c>
      <c r="K333" s="87">
        <v>2.24E-2</v>
      </c>
      <c r="L333" s="88">
        <v>1836.14</v>
      </c>
      <c r="M333" s="68">
        <v>411295.36000000004</v>
      </c>
      <c r="N333" s="68" t="s">
        <v>1282</v>
      </c>
      <c r="O333" s="367"/>
      <c r="P333" s="336">
        <f>M333*R333%</f>
        <v>4318.6012800000008</v>
      </c>
      <c r="Q333" s="336">
        <f>P333</f>
        <v>4318.6012800000008</v>
      </c>
      <c r="R333" s="336">
        <v>1.05</v>
      </c>
      <c r="S333" s="308" t="s">
        <v>2551</v>
      </c>
      <c r="T333" s="63" t="s">
        <v>1833</v>
      </c>
      <c r="U333" s="62" t="s">
        <v>1634</v>
      </c>
    </row>
    <row r="334" spans="1:22" s="1367" customFormat="1" ht="168.75" x14ac:dyDescent="0.25">
      <c r="A334" s="8">
        <v>329</v>
      </c>
      <c r="B334" s="97" t="s">
        <v>2451</v>
      </c>
      <c r="C334" s="8">
        <v>2079305630</v>
      </c>
      <c r="D334" s="16" t="s">
        <v>1284</v>
      </c>
      <c r="E334" s="14" t="s">
        <v>2453</v>
      </c>
      <c r="F334" s="178"/>
      <c r="G334" s="177" t="s">
        <v>1286</v>
      </c>
      <c r="H334" s="1382" t="s">
        <v>1571</v>
      </c>
      <c r="I334" s="177" t="s">
        <v>3708</v>
      </c>
      <c r="J334" s="177" t="s">
        <v>8</v>
      </c>
      <c r="K334" s="1397">
        <v>0.106</v>
      </c>
      <c r="L334" s="1398">
        <f>M334/1060</f>
        <v>2217.75</v>
      </c>
      <c r="M334" s="68">
        <v>2350815</v>
      </c>
      <c r="N334" s="68" t="s">
        <v>2357</v>
      </c>
      <c r="O334" s="367"/>
      <c r="P334" s="336">
        <f>M334*R334%</f>
        <v>24683.557500000003</v>
      </c>
      <c r="Q334" s="336">
        <f>P334</f>
        <v>24683.557500000003</v>
      </c>
      <c r="R334" s="336">
        <v>1.05</v>
      </c>
      <c r="S334" s="308">
        <v>45074</v>
      </c>
      <c r="T334" s="91" t="s">
        <v>1834</v>
      </c>
      <c r="U334" s="178" t="s">
        <v>1713</v>
      </c>
    </row>
    <row r="335" spans="1:22" s="1367" customFormat="1" ht="56.25" x14ac:dyDescent="0.25">
      <c r="A335" s="8">
        <v>330</v>
      </c>
      <c r="B335" s="103" t="s">
        <v>2451</v>
      </c>
      <c r="C335" s="8">
        <v>2079305630</v>
      </c>
      <c r="D335" s="16" t="s">
        <v>1287</v>
      </c>
      <c r="E335" s="92">
        <v>39281</v>
      </c>
      <c r="F335" s="86"/>
      <c r="G335" s="92"/>
      <c r="H335" s="92" t="s">
        <v>1288</v>
      </c>
      <c r="I335" s="92"/>
      <c r="J335" s="14" t="s">
        <v>8</v>
      </c>
      <c r="K335" s="87">
        <v>1.03E-2</v>
      </c>
      <c r="L335" s="88">
        <v>443.47</v>
      </c>
      <c r="M335" s="68">
        <v>45677.41</v>
      </c>
      <c r="N335" s="68"/>
      <c r="O335" s="367"/>
      <c r="P335" s="336">
        <f>M335*R335%</f>
        <v>1370.3223</v>
      </c>
      <c r="Q335" s="336">
        <f>P335</f>
        <v>1370.3223</v>
      </c>
      <c r="R335" s="336">
        <v>3</v>
      </c>
      <c r="S335" s="308">
        <v>49269</v>
      </c>
      <c r="T335" s="93" t="s">
        <v>1835</v>
      </c>
      <c r="U335" s="62"/>
    </row>
    <row r="336" spans="1:22" s="1367" customFormat="1" ht="187.5" x14ac:dyDescent="0.25">
      <c r="A336" s="8">
        <v>331</v>
      </c>
      <c r="B336" s="103" t="s">
        <v>2451</v>
      </c>
      <c r="C336" s="8">
        <v>2079305630</v>
      </c>
      <c r="D336" s="16" t="s">
        <v>1287</v>
      </c>
      <c r="E336" s="85" t="s">
        <v>1289</v>
      </c>
      <c r="F336" s="86"/>
      <c r="G336" s="85"/>
      <c r="H336" s="92" t="s">
        <v>1288</v>
      </c>
      <c r="I336" s="85"/>
      <c r="J336" s="14" t="s">
        <v>8</v>
      </c>
      <c r="K336" s="87">
        <v>0.41930000000000001</v>
      </c>
      <c r="L336" s="88">
        <v>2217.35</v>
      </c>
      <c r="M336" s="68">
        <v>9297348.5499999989</v>
      </c>
      <c r="N336" s="68"/>
      <c r="O336" s="367"/>
      <c r="P336" s="336">
        <f>M336*R336%</f>
        <v>278920.45649999997</v>
      </c>
      <c r="Q336" s="336">
        <f>P336</f>
        <v>278920.45649999997</v>
      </c>
      <c r="R336" s="336">
        <v>3</v>
      </c>
      <c r="S336" s="308">
        <v>49269</v>
      </c>
      <c r="T336" s="89" t="s">
        <v>1836</v>
      </c>
      <c r="U336" s="62"/>
    </row>
    <row r="337" spans="1:22" s="1367" customFormat="1" ht="131.25" x14ac:dyDescent="0.25">
      <c r="A337" s="8">
        <v>332</v>
      </c>
      <c r="B337" s="103" t="s">
        <v>2682</v>
      </c>
      <c r="C337" s="8">
        <v>3090125086</v>
      </c>
      <c r="D337" s="16" t="s">
        <v>1290</v>
      </c>
      <c r="E337" s="92" t="s">
        <v>2684</v>
      </c>
      <c r="F337" s="86" t="s">
        <v>2395</v>
      </c>
      <c r="G337" s="92" t="s">
        <v>2685</v>
      </c>
      <c r="H337" s="92">
        <v>41960</v>
      </c>
      <c r="I337" s="92" t="s">
        <v>3576</v>
      </c>
      <c r="J337" s="14" t="s">
        <v>8</v>
      </c>
      <c r="K337" s="87">
        <v>7.6E-3</v>
      </c>
      <c r="L337" s="88">
        <f>M337/76</f>
        <v>2258.85</v>
      </c>
      <c r="M337" s="68">
        <v>171672.6</v>
      </c>
      <c r="N337" s="68" t="s">
        <v>2686</v>
      </c>
      <c r="O337" s="367">
        <v>5482.46</v>
      </c>
      <c r="P337" s="336">
        <v>10401.36</v>
      </c>
      <c r="Q337" s="1448">
        <v>10401.36</v>
      </c>
      <c r="R337" s="336">
        <v>6.06</v>
      </c>
      <c r="S337" s="308">
        <v>44646</v>
      </c>
      <c r="T337" s="93" t="s">
        <v>2687</v>
      </c>
      <c r="U337" s="62" t="s">
        <v>1634</v>
      </c>
      <c r="V337" s="384"/>
    </row>
    <row r="338" spans="1:22" s="1367" customFormat="1" ht="56.25" x14ac:dyDescent="0.25">
      <c r="A338" s="8">
        <v>333</v>
      </c>
      <c r="B338" s="103" t="s">
        <v>1292</v>
      </c>
      <c r="C338" s="14">
        <v>2310211017</v>
      </c>
      <c r="D338" s="16" t="s">
        <v>1294</v>
      </c>
      <c r="E338" s="14" t="s">
        <v>1296</v>
      </c>
      <c r="F338" s="62" t="s">
        <v>1297</v>
      </c>
      <c r="G338" s="14" t="s">
        <v>1298</v>
      </c>
      <c r="H338" s="65" t="s">
        <v>1299</v>
      </c>
      <c r="I338" s="14" t="s">
        <v>134</v>
      </c>
      <c r="J338" s="14" t="s">
        <v>8</v>
      </c>
      <c r="K338" s="87">
        <v>6.8999999999999999E-3</v>
      </c>
      <c r="L338" s="88">
        <v>940.08</v>
      </c>
      <c r="M338" s="68">
        <v>64865.520000000004</v>
      </c>
      <c r="N338" s="68" t="s">
        <v>1300</v>
      </c>
      <c r="O338" s="367"/>
      <c r="P338" s="336">
        <f>M338*R338%</f>
        <v>6486.5520000000006</v>
      </c>
      <c r="Q338" s="336">
        <f t="shared" ref="Q338:Q345" si="12">P338</f>
        <v>6486.5520000000006</v>
      </c>
      <c r="R338" s="336">
        <v>10</v>
      </c>
      <c r="S338" s="308" t="s">
        <v>2615</v>
      </c>
      <c r="T338" s="89" t="s">
        <v>1837</v>
      </c>
      <c r="U338" s="62" t="s">
        <v>1634</v>
      </c>
      <c r="V338" s="384"/>
    </row>
    <row r="339" spans="1:22" s="1367" customFormat="1" ht="56.25" x14ac:dyDescent="0.25">
      <c r="A339" s="8">
        <v>334</v>
      </c>
      <c r="B339" s="103" t="s">
        <v>1301</v>
      </c>
      <c r="C339" s="8" t="s">
        <v>1572</v>
      </c>
      <c r="D339" s="16" t="s">
        <v>1303</v>
      </c>
      <c r="E339" s="14" t="s">
        <v>1304</v>
      </c>
      <c r="F339" s="62" t="s">
        <v>1508</v>
      </c>
      <c r="G339" s="14" t="s">
        <v>1305</v>
      </c>
      <c r="H339" s="65" t="s">
        <v>776</v>
      </c>
      <c r="I339" s="14"/>
      <c r="J339" s="14" t="s">
        <v>8</v>
      </c>
      <c r="K339" s="90">
        <v>1.83E-2</v>
      </c>
      <c r="L339" s="68">
        <f>M339/183</f>
        <v>1595.54</v>
      </c>
      <c r="M339" s="68">
        <v>291983.82</v>
      </c>
      <c r="N339" s="68" t="s">
        <v>2000</v>
      </c>
      <c r="O339" s="367" t="s">
        <v>2131</v>
      </c>
      <c r="P339" s="336">
        <v>16059.52</v>
      </c>
      <c r="Q339" s="336">
        <f>P339</f>
        <v>16059.52</v>
      </c>
      <c r="R339" s="336">
        <f>Q339*100/M339</f>
        <v>5.5001403844911678</v>
      </c>
      <c r="S339" s="308" t="s">
        <v>2596</v>
      </c>
      <c r="T339" s="91" t="s">
        <v>1826</v>
      </c>
      <c r="U339" s="62" t="s">
        <v>1634</v>
      </c>
    </row>
    <row r="340" spans="1:22" s="1367" customFormat="1" ht="56.25" x14ac:dyDescent="0.25">
      <c r="A340" s="8">
        <v>335</v>
      </c>
      <c r="B340" s="103" t="s">
        <v>2981</v>
      </c>
      <c r="C340" s="8">
        <v>2364701797</v>
      </c>
      <c r="D340" s="16" t="s">
        <v>2983</v>
      </c>
      <c r="E340" s="86" t="s">
        <v>2986</v>
      </c>
      <c r="F340" s="86" t="s">
        <v>2963</v>
      </c>
      <c r="G340" s="86" t="s">
        <v>2987</v>
      </c>
      <c r="H340" s="92">
        <v>43740</v>
      </c>
      <c r="I340" s="86"/>
      <c r="J340" s="14" t="s">
        <v>8</v>
      </c>
      <c r="K340" s="87">
        <v>0.25340000000000001</v>
      </c>
      <c r="L340" s="88">
        <f>M340/K340/10000</f>
        <v>317.39</v>
      </c>
      <c r="M340" s="68">
        <v>804266.26</v>
      </c>
      <c r="N340" s="68" t="s">
        <v>2988</v>
      </c>
      <c r="O340" s="367">
        <v>9128.33</v>
      </c>
      <c r="P340" s="336">
        <v>9128.33</v>
      </c>
      <c r="Q340" s="336">
        <f>P340</f>
        <v>9128.33</v>
      </c>
      <c r="R340" s="336">
        <v>1.135</v>
      </c>
      <c r="S340" s="308">
        <v>45560</v>
      </c>
      <c r="T340" s="89" t="s">
        <v>2989</v>
      </c>
      <c r="U340" s="62" t="s">
        <v>1632</v>
      </c>
    </row>
    <row r="341" spans="1:22" s="1367" customFormat="1" ht="56.25" x14ac:dyDescent="0.25">
      <c r="A341" s="8">
        <v>336</v>
      </c>
      <c r="B341" s="103" t="s">
        <v>1948</v>
      </c>
      <c r="C341" s="8">
        <v>2031805666</v>
      </c>
      <c r="D341" s="16" t="s">
        <v>1307</v>
      </c>
      <c r="E341" s="85" t="s">
        <v>3915</v>
      </c>
      <c r="F341" s="86" t="s">
        <v>1573</v>
      </c>
      <c r="G341" s="85" t="s">
        <v>3916</v>
      </c>
      <c r="H341" s="92" t="s">
        <v>1574</v>
      </c>
      <c r="I341" s="85"/>
      <c r="J341" s="14" t="s">
        <v>8</v>
      </c>
      <c r="K341" s="87">
        <v>1.1999999999999999E-3</v>
      </c>
      <c r="L341" s="88">
        <f>M341/12</f>
        <v>2043.2299999999998</v>
      </c>
      <c r="M341" s="68">
        <v>24518.76</v>
      </c>
      <c r="N341" s="68" t="s">
        <v>3299</v>
      </c>
      <c r="O341" s="367"/>
      <c r="P341" s="336">
        <f>M341*R341%</f>
        <v>2697.0636</v>
      </c>
      <c r="Q341" s="336">
        <f t="shared" si="12"/>
        <v>2697.0636</v>
      </c>
      <c r="R341" s="336">
        <v>11</v>
      </c>
      <c r="S341" s="308" t="s">
        <v>2616</v>
      </c>
      <c r="T341" s="89" t="s">
        <v>1838</v>
      </c>
      <c r="U341" s="62" t="s">
        <v>1634</v>
      </c>
    </row>
    <row r="342" spans="1:22" s="1367" customFormat="1" ht="56.25" x14ac:dyDescent="0.25">
      <c r="A342" s="8">
        <v>337</v>
      </c>
      <c r="B342" s="103" t="s">
        <v>1312</v>
      </c>
      <c r="C342" s="8">
        <v>2475914457</v>
      </c>
      <c r="D342" s="16" t="s">
        <v>1314</v>
      </c>
      <c r="E342" s="85" t="s">
        <v>1317</v>
      </c>
      <c r="F342" s="86" t="s">
        <v>770</v>
      </c>
      <c r="G342" s="85" t="s">
        <v>1318</v>
      </c>
      <c r="H342" s="92" t="s">
        <v>1472</v>
      </c>
      <c r="I342" s="85"/>
      <c r="J342" s="14" t="s">
        <v>8</v>
      </c>
      <c r="K342" s="87">
        <v>7.0000000000000001E-3</v>
      </c>
      <c r="L342" s="88">
        <v>1972.7</v>
      </c>
      <c r="M342" s="68">
        <v>138089</v>
      </c>
      <c r="N342" s="15" t="s">
        <v>1319</v>
      </c>
      <c r="O342" s="367"/>
      <c r="P342" s="336">
        <v>14361.3</v>
      </c>
      <c r="Q342" s="336">
        <f t="shared" si="12"/>
        <v>14361.3</v>
      </c>
      <c r="R342" s="336">
        <v>10.4</v>
      </c>
      <c r="S342" s="308" t="s">
        <v>2594</v>
      </c>
      <c r="T342" s="89" t="s">
        <v>1839</v>
      </c>
      <c r="U342" s="62" t="s">
        <v>1634</v>
      </c>
    </row>
    <row r="343" spans="1:22" s="1367" customFormat="1" ht="56.25" x14ac:dyDescent="0.25">
      <c r="A343" s="8">
        <v>338</v>
      </c>
      <c r="B343" s="103" t="s">
        <v>2117</v>
      </c>
      <c r="C343" s="8">
        <v>2864821690</v>
      </c>
      <c r="D343" s="16" t="s">
        <v>1320</v>
      </c>
      <c r="E343" s="92" t="s">
        <v>2013</v>
      </c>
      <c r="F343" s="86" t="s">
        <v>2014</v>
      </c>
      <c r="G343" s="92" t="s">
        <v>2015</v>
      </c>
      <c r="H343" s="92">
        <v>42690</v>
      </c>
      <c r="I343" s="92"/>
      <c r="J343" s="14" t="s">
        <v>8</v>
      </c>
      <c r="K343" s="87">
        <v>8.3999999999999995E-3</v>
      </c>
      <c r="L343" s="88">
        <f>M343/84</f>
        <v>826.53000000000009</v>
      </c>
      <c r="M343" s="68">
        <v>69428.52</v>
      </c>
      <c r="N343" s="15" t="s">
        <v>3356</v>
      </c>
      <c r="O343" s="1392" t="s">
        <v>2120</v>
      </c>
      <c r="P343" s="336">
        <v>7533.05</v>
      </c>
      <c r="Q343" s="336">
        <f t="shared" si="12"/>
        <v>7533.05</v>
      </c>
      <c r="R343" s="336">
        <v>10.85</v>
      </c>
      <c r="S343" s="308" t="s">
        <v>3171</v>
      </c>
      <c r="T343" s="93" t="s">
        <v>1840</v>
      </c>
      <c r="U343" s="62" t="s">
        <v>1634</v>
      </c>
    </row>
    <row r="344" spans="1:22" s="1367" customFormat="1" ht="56.25" x14ac:dyDescent="0.25">
      <c r="A344" s="8">
        <v>339</v>
      </c>
      <c r="B344" s="97" t="s">
        <v>1324</v>
      </c>
      <c r="C344" s="8" t="s">
        <v>1575</v>
      </c>
      <c r="D344" s="8" t="s">
        <v>1326</v>
      </c>
      <c r="E344" s="1131" t="s">
        <v>1329</v>
      </c>
      <c r="F344" s="62" t="s">
        <v>1565</v>
      </c>
      <c r="G344" s="14" t="s">
        <v>1330</v>
      </c>
      <c r="H344" s="65" t="s">
        <v>328</v>
      </c>
      <c r="I344" s="14"/>
      <c r="J344" s="14" t="s">
        <v>8</v>
      </c>
      <c r="K344" s="90">
        <v>0.12759999999999999</v>
      </c>
      <c r="L344" s="68">
        <f>M344/1276</f>
        <v>813.17000000000007</v>
      </c>
      <c r="M344" s="68">
        <v>1037604.92</v>
      </c>
      <c r="N344" s="8" t="s">
        <v>3352</v>
      </c>
      <c r="O344" s="367"/>
      <c r="P344" s="336">
        <v>31793.200000000001</v>
      </c>
      <c r="Q344" s="336">
        <f t="shared" si="12"/>
        <v>31793.200000000001</v>
      </c>
      <c r="R344" s="336">
        <f>Q344*100/M344</f>
        <v>3.0640949543685663</v>
      </c>
      <c r="S344" s="308" t="s">
        <v>2617</v>
      </c>
      <c r="T344" s="63" t="s">
        <v>1842</v>
      </c>
      <c r="U344" s="62" t="s">
        <v>1634</v>
      </c>
    </row>
    <row r="345" spans="1:22" s="1367" customFormat="1" ht="56.25" x14ac:dyDescent="0.25">
      <c r="A345" s="8">
        <v>340</v>
      </c>
      <c r="B345" s="103" t="s">
        <v>2062</v>
      </c>
      <c r="C345" s="14">
        <v>2725314826</v>
      </c>
      <c r="D345" s="8" t="s">
        <v>1331</v>
      </c>
      <c r="E345" s="65" t="s">
        <v>2066</v>
      </c>
      <c r="F345" s="62" t="s">
        <v>2065</v>
      </c>
      <c r="G345" s="62" t="s">
        <v>2067</v>
      </c>
      <c r="H345" s="65" t="s">
        <v>2068</v>
      </c>
      <c r="I345" s="65" t="s">
        <v>1857</v>
      </c>
      <c r="J345" s="14" t="s">
        <v>8</v>
      </c>
      <c r="K345" s="90">
        <v>4.7999999999999996E-3</v>
      </c>
      <c r="L345" s="1368">
        <v>686.68</v>
      </c>
      <c r="M345" s="68">
        <v>32960.639999999999</v>
      </c>
      <c r="N345" s="68" t="s">
        <v>2069</v>
      </c>
      <c r="O345" s="367"/>
      <c r="P345" s="336">
        <f>M345*R345%</f>
        <v>3955.2767999999996</v>
      </c>
      <c r="Q345" s="336">
        <f t="shared" si="12"/>
        <v>3955.2767999999996</v>
      </c>
      <c r="R345" s="336">
        <v>12</v>
      </c>
      <c r="S345" s="308" t="s">
        <v>2548</v>
      </c>
      <c r="T345" s="89" t="s">
        <v>2070</v>
      </c>
      <c r="U345" s="62" t="s">
        <v>1850</v>
      </c>
    </row>
    <row r="346" spans="1:22" s="1367" customFormat="1" ht="56.25" x14ac:dyDescent="0.25">
      <c r="A346" s="8">
        <v>341</v>
      </c>
      <c r="B346" s="97" t="s">
        <v>3665</v>
      </c>
      <c r="C346" s="14">
        <v>2764320728</v>
      </c>
      <c r="D346" s="8" t="s">
        <v>1879</v>
      </c>
      <c r="E346" s="93" t="s">
        <v>1882</v>
      </c>
      <c r="F346" s="81" t="s">
        <v>1861</v>
      </c>
      <c r="G346" s="93" t="s">
        <v>1884</v>
      </c>
      <c r="H346" s="93" t="s">
        <v>1885</v>
      </c>
      <c r="I346" s="93"/>
      <c r="J346" s="14" t="s">
        <v>8</v>
      </c>
      <c r="K346" s="90">
        <v>4.4999999999999997E-3</v>
      </c>
      <c r="L346" s="68">
        <v>2258.81</v>
      </c>
      <c r="M346" s="68">
        <v>101646.45</v>
      </c>
      <c r="N346" s="68" t="s">
        <v>1886</v>
      </c>
      <c r="O346" s="367"/>
      <c r="P346" s="336">
        <v>9026.24</v>
      </c>
      <c r="Q346" s="336">
        <f t="shared" ref="Q346:Q353" si="13">P346</f>
        <v>9026.24</v>
      </c>
      <c r="R346" s="336">
        <v>8.8800000000000008</v>
      </c>
      <c r="S346" s="308" t="s">
        <v>2607</v>
      </c>
      <c r="T346" s="89" t="s">
        <v>1888</v>
      </c>
      <c r="U346" s="62" t="s">
        <v>1634</v>
      </c>
    </row>
    <row r="347" spans="1:22" s="1367" customFormat="1" ht="56.25" x14ac:dyDescent="0.25">
      <c r="A347" s="8">
        <v>342</v>
      </c>
      <c r="B347" s="103" t="s">
        <v>3665</v>
      </c>
      <c r="C347" s="14">
        <v>2764320728</v>
      </c>
      <c r="D347" s="8" t="s">
        <v>3661</v>
      </c>
      <c r="E347" s="93" t="s">
        <v>3663</v>
      </c>
      <c r="F347" s="81" t="s">
        <v>3642</v>
      </c>
      <c r="G347" s="93" t="s">
        <v>3662</v>
      </c>
      <c r="H347" s="93">
        <v>44006</v>
      </c>
      <c r="I347" s="93"/>
      <c r="J347" s="14" t="s">
        <v>8</v>
      </c>
      <c r="K347" s="90">
        <v>1.2500000000000001E-2</v>
      </c>
      <c r="L347" s="68">
        <f>M347/125</f>
        <v>2258.85</v>
      </c>
      <c r="M347" s="68">
        <v>282356.25</v>
      </c>
      <c r="N347" s="68" t="s">
        <v>3664</v>
      </c>
      <c r="O347" s="367">
        <v>30353.63</v>
      </c>
      <c r="P347" s="336">
        <v>30353.63</v>
      </c>
      <c r="Q347" s="336">
        <v>15767.03</v>
      </c>
      <c r="R347" s="1438">
        <v>10.75</v>
      </c>
      <c r="S347" s="308">
        <v>45806</v>
      </c>
      <c r="T347" s="89" t="s">
        <v>3701</v>
      </c>
      <c r="U347" s="62" t="s">
        <v>1713</v>
      </c>
    </row>
    <row r="348" spans="1:22" s="1367" customFormat="1" ht="56.25" x14ac:dyDescent="0.25">
      <c r="A348" s="8">
        <v>343</v>
      </c>
      <c r="B348" s="103" t="s">
        <v>3695</v>
      </c>
      <c r="C348" s="14">
        <v>2530510911</v>
      </c>
      <c r="D348" s="8" t="s">
        <v>3696</v>
      </c>
      <c r="E348" s="93" t="s">
        <v>3698</v>
      </c>
      <c r="F348" s="81" t="s">
        <v>3699</v>
      </c>
      <c r="G348" s="93" t="s">
        <v>3697</v>
      </c>
      <c r="H348" s="93">
        <v>44014</v>
      </c>
      <c r="I348" s="93"/>
      <c r="J348" s="14" t="s">
        <v>8</v>
      </c>
      <c r="K348" s="90">
        <v>1.2E-2</v>
      </c>
      <c r="L348" s="68">
        <f>M348/120</f>
        <v>1798.18</v>
      </c>
      <c r="M348" s="68">
        <v>215781.6</v>
      </c>
      <c r="N348" s="68" t="s">
        <v>3700</v>
      </c>
      <c r="O348" s="367">
        <v>7023.74</v>
      </c>
      <c r="P348" s="336">
        <v>7023.74</v>
      </c>
      <c r="Q348" s="336">
        <v>3492.98</v>
      </c>
      <c r="R348" s="1438">
        <f>P348*100/M348</f>
        <v>3.2550226710711199</v>
      </c>
      <c r="S348" s="308">
        <v>45834</v>
      </c>
      <c r="T348" s="89" t="s">
        <v>3702</v>
      </c>
      <c r="U348" s="62" t="s">
        <v>3703</v>
      </c>
    </row>
    <row r="349" spans="1:22" s="1367" customFormat="1" ht="56.25" x14ac:dyDescent="0.25">
      <c r="A349" s="8">
        <v>344</v>
      </c>
      <c r="B349" s="103" t="s">
        <v>3247</v>
      </c>
      <c r="C349" s="14">
        <v>2320512744</v>
      </c>
      <c r="D349" s="8" t="s">
        <v>1926</v>
      </c>
      <c r="E349" s="93" t="s">
        <v>1929</v>
      </c>
      <c r="F349" s="81" t="s">
        <v>1895</v>
      </c>
      <c r="G349" s="93" t="s">
        <v>1930</v>
      </c>
      <c r="H349" s="93" t="s">
        <v>1931</v>
      </c>
      <c r="I349" s="93"/>
      <c r="J349" s="14" t="s">
        <v>8</v>
      </c>
      <c r="K349" s="90">
        <v>1.83E-2</v>
      </c>
      <c r="L349" s="68">
        <v>798.33</v>
      </c>
      <c r="M349" s="68">
        <f>L349*183</f>
        <v>146094.39000000001</v>
      </c>
      <c r="N349" s="68" t="s">
        <v>1932</v>
      </c>
      <c r="O349" s="367"/>
      <c r="P349" s="336">
        <v>15486.04</v>
      </c>
      <c r="Q349" s="336">
        <f t="shared" si="13"/>
        <v>15486.04</v>
      </c>
      <c r="R349" s="336">
        <v>10.6</v>
      </c>
      <c r="S349" s="308" t="s">
        <v>2577</v>
      </c>
      <c r="T349" s="89" t="s">
        <v>1923</v>
      </c>
      <c r="U349" s="62" t="s">
        <v>1634</v>
      </c>
    </row>
    <row r="350" spans="1:22" s="1367" customFormat="1" ht="56.25" x14ac:dyDescent="0.25">
      <c r="A350" s="8">
        <v>345</v>
      </c>
      <c r="B350" s="103" t="s">
        <v>3648</v>
      </c>
      <c r="C350" s="14">
        <v>2320512744</v>
      </c>
      <c r="D350" s="8" t="s">
        <v>2920</v>
      </c>
      <c r="E350" s="93" t="s">
        <v>2923</v>
      </c>
      <c r="F350" s="81" t="s">
        <v>2925</v>
      </c>
      <c r="G350" s="93" t="s">
        <v>2924</v>
      </c>
      <c r="H350" s="93">
        <v>43733</v>
      </c>
      <c r="I350" s="93"/>
      <c r="J350" s="14" t="s">
        <v>8</v>
      </c>
      <c r="K350" s="90">
        <v>2.01E-2</v>
      </c>
      <c r="L350" s="68">
        <f>M350/201</f>
        <v>1284.05</v>
      </c>
      <c r="M350" s="68">
        <v>258094.05</v>
      </c>
      <c r="N350" s="68" t="s">
        <v>2926</v>
      </c>
      <c r="O350" s="367">
        <v>27874.21</v>
      </c>
      <c r="P350" s="336">
        <v>27874.21</v>
      </c>
      <c r="Q350" s="336">
        <f t="shared" si="13"/>
        <v>27874.21</v>
      </c>
      <c r="R350" s="336">
        <v>10.8</v>
      </c>
      <c r="S350" s="308">
        <v>45553</v>
      </c>
      <c r="T350" s="89" t="s">
        <v>1923</v>
      </c>
      <c r="U350" s="62" t="s">
        <v>1634</v>
      </c>
    </row>
    <row r="351" spans="1:22" s="1367" customFormat="1" ht="56.25" x14ac:dyDescent="0.25">
      <c r="A351" s="8">
        <v>346</v>
      </c>
      <c r="B351" s="103" t="s">
        <v>2809</v>
      </c>
      <c r="C351" s="8">
        <v>2679419368</v>
      </c>
      <c r="D351" s="8" t="s">
        <v>1334</v>
      </c>
      <c r="E351" s="63" t="s">
        <v>1336</v>
      </c>
      <c r="F351" s="81" t="s">
        <v>3354</v>
      </c>
      <c r="G351" s="63">
        <v>40573200113</v>
      </c>
      <c r="H351" s="93">
        <v>38715</v>
      </c>
      <c r="I351" s="63"/>
      <c r="J351" s="14" t="s">
        <v>8</v>
      </c>
      <c r="K351" s="90" t="s">
        <v>1576</v>
      </c>
      <c r="L351" s="68">
        <f>M351/154</f>
        <v>2043.2299999999998</v>
      </c>
      <c r="M351" s="68">
        <v>314657.42</v>
      </c>
      <c r="N351" s="68" t="s">
        <v>3355</v>
      </c>
      <c r="O351" s="367"/>
      <c r="P351" s="336">
        <f>M351*R351%</f>
        <v>25172.5936</v>
      </c>
      <c r="Q351" s="336">
        <f t="shared" si="13"/>
        <v>25172.5936</v>
      </c>
      <c r="R351" s="336">
        <v>8</v>
      </c>
      <c r="S351" s="308">
        <v>56612</v>
      </c>
      <c r="T351" s="14" t="s">
        <v>1843</v>
      </c>
      <c r="U351" s="62" t="s">
        <v>1713</v>
      </c>
    </row>
    <row r="352" spans="1:22" s="1367" customFormat="1" ht="56.25" x14ac:dyDescent="0.25">
      <c r="A352" s="8">
        <v>347</v>
      </c>
      <c r="B352" s="103" t="s">
        <v>2698</v>
      </c>
      <c r="C352" s="8">
        <v>2975111248</v>
      </c>
      <c r="D352" s="8" t="s">
        <v>1337</v>
      </c>
      <c r="E352" s="65" t="s">
        <v>2696</v>
      </c>
      <c r="F352" s="62" t="s">
        <v>2361</v>
      </c>
      <c r="G352" s="65"/>
      <c r="H352" s="65">
        <v>41893</v>
      </c>
      <c r="I352" s="1413"/>
      <c r="J352" s="14" t="s">
        <v>8</v>
      </c>
      <c r="K352" s="1383">
        <v>3.0000000000000001E-3</v>
      </c>
      <c r="L352" s="1369">
        <v>1026.54</v>
      </c>
      <c r="M352" s="68">
        <v>30796.199999999997</v>
      </c>
      <c r="N352" s="68" t="s">
        <v>3408</v>
      </c>
      <c r="O352" s="367"/>
      <c r="P352" s="336">
        <f>M352*R352%</f>
        <v>307.96199999999999</v>
      </c>
      <c r="Q352" s="336">
        <f t="shared" si="13"/>
        <v>307.96199999999999</v>
      </c>
      <c r="R352" s="336">
        <v>1</v>
      </c>
      <c r="S352" s="308">
        <v>44844</v>
      </c>
      <c r="T352" s="1387" t="s">
        <v>1957</v>
      </c>
      <c r="U352" s="62" t="s">
        <v>1850</v>
      </c>
    </row>
    <row r="353" spans="1:22" s="1367" customFormat="1" ht="37.5" x14ac:dyDescent="0.25">
      <c r="A353" s="8">
        <v>348</v>
      </c>
      <c r="B353" s="103" t="s">
        <v>1856</v>
      </c>
      <c r="C353" s="14">
        <v>3082516681</v>
      </c>
      <c r="D353" s="8" t="s">
        <v>1338</v>
      </c>
      <c r="E353" s="62" t="s">
        <v>2678</v>
      </c>
      <c r="F353" s="62" t="s">
        <v>2697</v>
      </c>
      <c r="G353" s="62" t="s">
        <v>1340</v>
      </c>
      <c r="H353" s="65" t="s">
        <v>1341</v>
      </c>
      <c r="I353" s="62" t="s">
        <v>2037</v>
      </c>
      <c r="J353" s="14" t="s">
        <v>8</v>
      </c>
      <c r="K353" s="1383">
        <v>4.3E-3</v>
      </c>
      <c r="L353" s="1369">
        <v>931.19</v>
      </c>
      <c r="M353" s="68">
        <f>L353*43</f>
        <v>40041.170000000006</v>
      </c>
      <c r="N353" s="68" t="s">
        <v>2038</v>
      </c>
      <c r="O353" s="367"/>
      <c r="P353" s="336">
        <f>M353*R353%</f>
        <v>4404.5287000000008</v>
      </c>
      <c r="Q353" s="336">
        <f t="shared" si="13"/>
        <v>4404.5287000000008</v>
      </c>
      <c r="R353" s="336">
        <v>11</v>
      </c>
      <c r="S353" s="308" t="s">
        <v>2556</v>
      </c>
      <c r="T353" s="50" t="s">
        <v>1752</v>
      </c>
      <c r="U353" s="62" t="s">
        <v>1634</v>
      </c>
      <c r="V353" s="384"/>
    </row>
    <row r="354" spans="1:22" s="1367" customFormat="1" ht="112.5" x14ac:dyDescent="0.25">
      <c r="A354" s="8">
        <v>349</v>
      </c>
      <c r="B354" s="97" t="s">
        <v>1342</v>
      </c>
      <c r="C354" s="8">
        <v>2420101704</v>
      </c>
      <c r="D354" s="8" t="s">
        <v>1344</v>
      </c>
      <c r="E354" s="14" t="s">
        <v>1345</v>
      </c>
      <c r="F354" s="62" t="s">
        <v>1346</v>
      </c>
      <c r="G354" s="14" t="s">
        <v>1347</v>
      </c>
      <c r="H354" s="65">
        <v>41990</v>
      </c>
      <c r="I354" s="14" t="s">
        <v>3459</v>
      </c>
      <c r="J354" s="14" t="s">
        <v>8</v>
      </c>
      <c r="K354" s="87">
        <v>0.26700000000000002</v>
      </c>
      <c r="L354" s="1378">
        <f>M354/2670</f>
        <v>1595.54</v>
      </c>
      <c r="M354" s="68">
        <v>4260091.8</v>
      </c>
      <c r="N354" s="68" t="s">
        <v>3405</v>
      </c>
      <c r="O354" s="367"/>
      <c r="P354" s="336">
        <f>M354*R354%</f>
        <v>44730.963900000002</v>
      </c>
      <c r="Q354" s="336">
        <f t="shared" ref="Q354:Q356" si="14">P354</f>
        <v>44730.963900000002</v>
      </c>
      <c r="R354" s="336">
        <v>1.05</v>
      </c>
      <c r="S354" s="308" t="s">
        <v>2592</v>
      </c>
      <c r="T354" s="89" t="s">
        <v>1844</v>
      </c>
      <c r="U354" s="62" t="s">
        <v>1634</v>
      </c>
    </row>
    <row r="355" spans="1:22" s="1367" customFormat="1" ht="75" x14ac:dyDescent="0.25">
      <c r="A355" s="8">
        <v>350</v>
      </c>
      <c r="B355" s="97" t="s">
        <v>3232</v>
      </c>
      <c r="C355" s="8">
        <v>2420101704</v>
      </c>
      <c r="D355" s="8" t="s">
        <v>1348</v>
      </c>
      <c r="E355" s="65" t="s">
        <v>3099</v>
      </c>
      <c r="F355" s="62" t="s">
        <v>3100</v>
      </c>
      <c r="G355" s="65" t="s">
        <v>3101</v>
      </c>
      <c r="H355" s="65" t="s">
        <v>3102</v>
      </c>
      <c r="I355" s="65" t="s">
        <v>3234</v>
      </c>
      <c r="J355" s="14" t="s">
        <v>8</v>
      </c>
      <c r="K355" s="87">
        <v>2.58E-2</v>
      </c>
      <c r="L355" s="1378">
        <f>M355/258</f>
        <v>1595.57</v>
      </c>
      <c r="M355" s="68">
        <v>411657.06</v>
      </c>
      <c r="N355" s="68" t="s">
        <v>3103</v>
      </c>
      <c r="O355" s="367"/>
      <c r="P355" s="336">
        <f>M355*R355%</f>
        <v>32932.5648</v>
      </c>
      <c r="Q355" s="336">
        <f t="shared" si="14"/>
        <v>32932.5648</v>
      </c>
      <c r="R355" s="336">
        <v>8</v>
      </c>
      <c r="S355" s="308">
        <v>44795</v>
      </c>
      <c r="T355" s="89" t="s">
        <v>1845</v>
      </c>
      <c r="U355" s="62" t="s">
        <v>1634</v>
      </c>
    </row>
    <row r="356" spans="1:22" s="1367" customFormat="1" ht="56.25" x14ac:dyDescent="0.25">
      <c r="A356" s="8">
        <v>351</v>
      </c>
      <c r="B356" s="97" t="s">
        <v>1342</v>
      </c>
      <c r="C356" s="8">
        <v>2420101704</v>
      </c>
      <c r="D356" s="8" t="s">
        <v>1358</v>
      </c>
      <c r="E356" s="14" t="s">
        <v>1359</v>
      </c>
      <c r="F356" s="62" t="s">
        <v>1579</v>
      </c>
      <c r="G356" s="14" t="s">
        <v>1360</v>
      </c>
      <c r="H356" s="65" t="s">
        <v>1267</v>
      </c>
      <c r="I356" s="14"/>
      <c r="J356" s="14" t="s">
        <v>8</v>
      </c>
      <c r="K356" s="87">
        <v>0.05</v>
      </c>
      <c r="L356" s="1378">
        <f>M356/500</f>
        <v>1595.57</v>
      </c>
      <c r="M356" s="68">
        <v>797785</v>
      </c>
      <c r="N356" s="68" t="s">
        <v>3911</v>
      </c>
      <c r="O356" s="367"/>
      <c r="P356" s="336">
        <f>M356*R356%</f>
        <v>63822.8</v>
      </c>
      <c r="Q356" s="336">
        <f t="shared" si="14"/>
        <v>63822.8</v>
      </c>
      <c r="R356" s="336">
        <v>8</v>
      </c>
      <c r="S356" s="1142">
        <v>44109</v>
      </c>
      <c r="T356" s="89" t="s">
        <v>1845</v>
      </c>
      <c r="U356" s="62" t="s">
        <v>1634</v>
      </c>
    </row>
    <row r="357" spans="1:22" s="1367" customFormat="1" ht="56.25" x14ac:dyDescent="0.25">
      <c r="A357" s="8">
        <v>352</v>
      </c>
      <c r="B357" s="103" t="s">
        <v>3645</v>
      </c>
      <c r="C357" s="8">
        <v>3028500226</v>
      </c>
      <c r="D357" s="16" t="s">
        <v>3640</v>
      </c>
      <c r="E357" s="63" t="s">
        <v>3641</v>
      </c>
      <c r="F357" s="81" t="s">
        <v>3642</v>
      </c>
      <c r="G357" s="63" t="s">
        <v>3643</v>
      </c>
      <c r="H357" s="93">
        <v>43987</v>
      </c>
      <c r="I357" s="63"/>
      <c r="J357" s="14" t="s">
        <v>8</v>
      </c>
      <c r="K357" s="1377">
        <v>0.02</v>
      </c>
      <c r="L357" s="1378">
        <f>M357/200</f>
        <v>534.66</v>
      </c>
      <c r="M357" s="68">
        <v>106932</v>
      </c>
      <c r="N357" s="68" t="s">
        <v>3644</v>
      </c>
      <c r="O357" s="1450">
        <v>12029.95</v>
      </c>
      <c r="P357" s="1357">
        <f>O357</f>
        <v>12029.95</v>
      </c>
      <c r="Q357" s="1357">
        <v>6883.83</v>
      </c>
      <c r="R357" s="1451">
        <v>11.25</v>
      </c>
      <c r="S357" s="1452" t="s">
        <v>3646</v>
      </c>
      <c r="T357" s="89" t="s">
        <v>3647</v>
      </c>
      <c r="U357" s="62" t="s">
        <v>1634</v>
      </c>
    </row>
    <row r="358" spans="1:22" s="1367" customFormat="1" ht="37.5" x14ac:dyDescent="0.25">
      <c r="A358" s="8">
        <v>353</v>
      </c>
      <c r="B358" s="97" t="s">
        <v>3833</v>
      </c>
      <c r="C358" s="8">
        <v>3028500226</v>
      </c>
      <c r="D358" s="8" t="s">
        <v>3834</v>
      </c>
      <c r="E358" s="14" t="s">
        <v>3835</v>
      </c>
      <c r="F358" s="62" t="s">
        <v>3770</v>
      </c>
      <c r="G358" s="14" t="s">
        <v>3836</v>
      </c>
      <c r="H358" s="1453">
        <v>44092</v>
      </c>
      <c r="I358" s="14"/>
      <c r="J358" s="14" t="s">
        <v>8</v>
      </c>
      <c r="K358" s="87">
        <v>2.8E-3</v>
      </c>
      <c r="L358" s="1378">
        <v>1595.54</v>
      </c>
      <c r="M358" s="68">
        <v>44675.119999999995</v>
      </c>
      <c r="N358" s="68" t="s">
        <v>1355</v>
      </c>
      <c r="O358" s="367"/>
      <c r="P358" s="336">
        <f>M358*R358%</f>
        <v>3574.0095999999999</v>
      </c>
      <c r="Q358" s="336">
        <f>P358</f>
        <v>3574.0095999999999</v>
      </c>
      <c r="R358" s="336">
        <v>8</v>
      </c>
      <c r="S358" s="308">
        <v>45130</v>
      </c>
      <c r="T358" s="89" t="s">
        <v>1845</v>
      </c>
      <c r="U358" s="62" t="s">
        <v>1634</v>
      </c>
      <c r="V358" s="384"/>
    </row>
    <row r="359" spans="1:22" s="1367" customFormat="1" ht="56.25" x14ac:dyDescent="0.25">
      <c r="A359" s="8">
        <v>354</v>
      </c>
      <c r="B359" s="103" t="s">
        <v>1371</v>
      </c>
      <c r="C359" s="14">
        <v>3024106755</v>
      </c>
      <c r="D359" s="16" t="s">
        <v>1373</v>
      </c>
      <c r="E359" s="93" t="s">
        <v>1376</v>
      </c>
      <c r="F359" s="81" t="s">
        <v>1592</v>
      </c>
      <c r="G359" s="93" t="s">
        <v>1377</v>
      </c>
      <c r="H359" s="93" t="s">
        <v>1593</v>
      </c>
      <c r="I359" s="93"/>
      <c r="J359" s="14" t="s">
        <v>8</v>
      </c>
      <c r="K359" s="1379">
        <v>1.3100000000000001E-2</v>
      </c>
      <c r="L359" s="1380">
        <v>798.34</v>
      </c>
      <c r="M359" s="68">
        <v>104582.54000000001</v>
      </c>
      <c r="N359" s="68" t="s">
        <v>1378</v>
      </c>
      <c r="O359" s="367"/>
      <c r="P359" s="336">
        <f>M359*R359%</f>
        <v>12549.9048</v>
      </c>
      <c r="Q359" s="336">
        <f t="shared" ref="Q359:Q367" si="15">P359</f>
        <v>12549.9048</v>
      </c>
      <c r="R359" s="336">
        <v>12</v>
      </c>
      <c r="S359" s="308">
        <v>43569</v>
      </c>
      <c r="T359" s="1368" t="s">
        <v>1847</v>
      </c>
      <c r="U359" s="62" t="s">
        <v>1634</v>
      </c>
    </row>
    <row r="360" spans="1:22" s="1367" customFormat="1" ht="75" x14ac:dyDescent="0.25">
      <c r="A360" s="8">
        <v>355</v>
      </c>
      <c r="B360" s="103" t="s">
        <v>2396</v>
      </c>
      <c r="C360" s="14">
        <v>2985715862</v>
      </c>
      <c r="D360" s="16" t="s">
        <v>1379</v>
      </c>
      <c r="E360" s="63" t="s">
        <v>2397</v>
      </c>
      <c r="F360" s="81" t="s">
        <v>2395</v>
      </c>
      <c r="G360" s="81" t="s">
        <v>2398</v>
      </c>
      <c r="H360" s="93" t="s">
        <v>2395</v>
      </c>
      <c r="I360" s="63" t="s">
        <v>3202</v>
      </c>
      <c r="J360" s="14" t="s">
        <v>8</v>
      </c>
      <c r="K360" s="1379">
        <v>2.3999999999999998E-3</v>
      </c>
      <c r="L360" s="1380">
        <f>M360/24</f>
        <v>426.58</v>
      </c>
      <c r="M360" s="68">
        <v>10237.92</v>
      </c>
      <c r="N360" s="68" t="s">
        <v>3203</v>
      </c>
      <c r="O360" s="367"/>
      <c r="P360" s="336">
        <f>M360*R360%</f>
        <v>102.3792</v>
      </c>
      <c r="Q360" s="336">
        <f t="shared" si="15"/>
        <v>102.3792</v>
      </c>
      <c r="R360" s="336">
        <v>1</v>
      </c>
      <c r="S360" s="308">
        <v>44844</v>
      </c>
      <c r="T360" s="91" t="s">
        <v>1957</v>
      </c>
      <c r="U360" s="62" t="s">
        <v>1850</v>
      </c>
      <c r="V360" s="1454" t="s">
        <v>2039</v>
      </c>
    </row>
    <row r="361" spans="1:22" s="1367" customFormat="1" ht="75" x14ac:dyDescent="0.25">
      <c r="A361" s="8">
        <v>356</v>
      </c>
      <c r="B361" s="103" t="s">
        <v>1380</v>
      </c>
      <c r="C361" s="14" t="s">
        <v>1594</v>
      </c>
      <c r="D361" s="16" t="s">
        <v>1382</v>
      </c>
      <c r="E361" s="63" t="s">
        <v>1384</v>
      </c>
      <c r="F361" s="81" t="s">
        <v>1595</v>
      </c>
      <c r="G361" s="63" t="s">
        <v>1385</v>
      </c>
      <c r="H361" s="93" t="s">
        <v>578</v>
      </c>
      <c r="I361" s="63"/>
      <c r="J361" s="14" t="s">
        <v>8</v>
      </c>
      <c r="K361" s="1414">
        <v>2.3800000000000002E-2</v>
      </c>
      <c r="L361" s="1380">
        <v>1735.19</v>
      </c>
      <c r="M361" s="68">
        <v>412975.22000000009</v>
      </c>
      <c r="N361" s="68" t="s">
        <v>1386</v>
      </c>
      <c r="O361" s="367"/>
      <c r="P361" s="336">
        <v>42123.48</v>
      </c>
      <c r="Q361" s="336">
        <f t="shared" si="15"/>
        <v>42123.48</v>
      </c>
      <c r="R361" s="336">
        <f>P361*100/M361</f>
        <v>10.200001830618309</v>
      </c>
      <c r="S361" s="308" t="s">
        <v>2619</v>
      </c>
      <c r="T361" s="94" t="s">
        <v>1848</v>
      </c>
      <c r="U361" s="62" t="s">
        <v>1634</v>
      </c>
      <c r="V361" s="384"/>
    </row>
    <row r="362" spans="1:22" s="1367" customFormat="1" ht="37.5" x14ac:dyDescent="0.25">
      <c r="A362" s="8">
        <v>357</v>
      </c>
      <c r="B362" s="103" t="s">
        <v>2903</v>
      </c>
      <c r="C362" s="14">
        <v>1724708759</v>
      </c>
      <c r="D362" s="16" t="s">
        <v>1395</v>
      </c>
      <c r="E362" s="93" t="s">
        <v>2840</v>
      </c>
      <c r="F362" s="81"/>
      <c r="G362" s="93" t="s">
        <v>2839</v>
      </c>
      <c r="H362" s="93">
        <v>41827</v>
      </c>
      <c r="I362" s="93"/>
      <c r="J362" s="14" t="s">
        <v>8</v>
      </c>
      <c r="K362" s="1379">
        <v>5.6300000000000003E-2</v>
      </c>
      <c r="L362" s="1380">
        <v>598.25</v>
      </c>
      <c r="M362" s="68">
        <v>336814.75</v>
      </c>
      <c r="N362" s="68"/>
      <c r="O362" s="367"/>
      <c r="P362" s="336">
        <f>M362*R362%</f>
        <v>336.81475</v>
      </c>
      <c r="Q362" s="336">
        <f t="shared" si="15"/>
        <v>336.81475</v>
      </c>
      <c r="R362" s="336">
        <v>0.1</v>
      </c>
      <c r="S362" s="308">
        <v>43520</v>
      </c>
      <c r="T362" s="1387" t="s">
        <v>1851</v>
      </c>
      <c r="U362" s="62"/>
    </row>
    <row r="363" spans="1:22" s="1367" customFormat="1" ht="37.5" x14ac:dyDescent="0.25">
      <c r="A363" s="8">
        <v>358</v>
      </c>
      <c r="B363" s="103" t="s">
        <v>2228</v>
      </c>
      <c r="C363" s="8">
        <v>2054515218</v>
      </c>
      <c r="D363" s="8" t="s">
        <v>1398</v>
      </c>
      <c r="E363" s="14" t="s">
        <v>2679</v>
      </c>
      <c r="F363" s="62" t="s">
        <v>1598</v>
      </c>
      <c r="G363" s="14" t="s">
        <v>1401</v>
      </c>
      <c r="H363" s="65" t="s">
        <v>1402</v>
      </c>
      <c r="I363" s="65" t="s">
        <v>2229</v>
      </c>
      <c r="J363" s="14" t="s">
        <v>8</v>
      </c>
      <c r="K363" s="90">
        <v>4.5199999999999997E-2</v>
      </c>
      <c r="L363" s="68">
        <v>598.24</v>
      </c>
      <c r="M363" s="68">
        <v>270404.47999999998</v>
      </c>
      <c r="N363" s="68" t="s">
        <v>1403</v>
      </c>
      <c r="O363" s="367"/>
      <c r="P363" s="336">
        <f>M363*R363%</f>
        <v>2839.2470400000002</v>
      </c>
      <c r="Q363" s="336">
        <f t="shared" si="15"/>
        <v>2839.2470400000002</v>
      </c>
      <c r="R363" s="336">
        <v>1.05</v>
      </c>
      <c r="S363" s="308" t="s">
        <v>2593</v>
      </c>
      <c r="T363" s="91" t="s">
        <v>1826</v>
      </c>
      <c r="U363" s="62" t="s">
        <v>1713</v>
      </c>
      <c r="V363" s="384"/>
    </row>
    <row r="364" spans="1:22" s="1367" customFormat="1" ht="37.5" x14ac:dyDescent="0.25">
      <c r="A364" s="8">
        <v>359</v>
      </c>
      <c r="B364" s="103" t="s">
        <v>1404</v>
      </c>
      <c r="C364" s="8" t="s">
        <v>1599</v>
      </c>
      <c r="D364" s="8" t="s">
        <v>1406</v>
      </c>
      <c r="E364" s="65" t="s">
        <v>1408</v>
      </c>
      <c r="F364" s="62" t="s">
        <v>1595</v>
      </c>
      <c r="G364" s="14" t="s">
        <v>1409</v>
      </c>
      <c r="H364" s="65" t="s">
        <v>1600</v>
      </c>
      <c r="I364" s="14"/>
      <c r="J364" s="14" t="s">
        <v>8</v>
      </c>
      <c r="K364" s="90">
        <v>6.2600000000000003E-2</v>
      </c>
      <c r="L364" s="68">
        <v>470.11</v>
      </c>
      <c r="M364" s="68">
        <v>294288.86</v>
      </c>
      <c r="N364" s="68" t="s">
        <v>1410</v>
      </c>
      <c r="O364" s="367"/>
      <c r="P364" s="336">
        <v>9534.91</v>
      </c>
      <c r="Q364" s="336">
        <f t="shared" si="15"/>
        <v>9534.91</v>
      </c>
      <c r="R364" s="336">
        <f>P364*100/M364</f>
        <v>3.2399833279452035</v>
      </c>
      <c r="S364" s="308" t="s">
        <v>2619</v>
      </c>
      <c r="T364" s="89" t="s">
        <v>1750</v>
      </c>
      <c r="U364" s="62" t="s">
        <v>1634</v>
      </c>
    </row>
    <row r="365" spans="1:22" s="1367" customFormat="1" ht="56.25" x14ac:dyDescent="0.25">
      <c r="A365" s="8">
        <v>360</v>
      </c>
      <c r="B365" s="103" t="s">
        <v>3172</v>
      </c>
      <c r="C365" s="8">
        <v>2591009103</v>
      </c>
      <c r="D365" s="8" t="s">
        <v>3378</v>
      </c>
      <c r="E365" s="65" t="s">
        <v>3380</v>
      </c>
      <c r="F365" s="62" t="s">
        <v>3347</v>
      </c>
      <c r="G365" s="14" t="s">
        <v>3381</v>
      </c>
      <c r="H365" s="65">
        <v>43851</v>
      </c>
      <c r="I365" s="14"/>
      <c r="J365" s="14" t="s">
        <v>8</v>
      </c>
      <c r="K365" s="1377">
        <v>0.85440000000000005</v>
      </c>
      <c r="L365" s="1378">
        <f>M365/8544</f>
        <v>199.5</v>
      </c>
      <c r="M365" s="68">
        <v>1704528</v>
      </c>
      <c r="N365" s="68" t="s">
        <v>3382</v>
      </c>
      <c r="O365" s="367"/>
      <c r="P365" s="336">
        <v>19005.57</v>
      </c>
      <c r="Q365" s="336">
        <v>17987.78</v>
      </c>
      <c r="R365" s="336">
        <f>P365*100/M365</f>
        <v>1.1150048576497424</v>
      </c>
      <c r="S365" s="308">
        <v>45646</v>
      </c>
      <c r="T365" s="89" t="s">
        <v>3383</v>
      </c>
      <c r="U365" s="62" t="s">
        <v>1632</v>
      </c>
    </row>
    <row r="366" spans="1:22" s="1367" customFormat="1" ht="56.25" x14ac:dyDescent="0.25">
      <c r="A366" s="8">
        <v>361</v>
      </c>
      <c r="B366" s="1410" t="s">
        <v>3605</v>
      </c>
      <c r="C366" s="8">
        <v>2636704234</v>
      </c>
      <c r="D366" s="8" t="s">
        <v>938</v>
      </c>
      <c r="E366" s="86" t="s">
        <v>3606</v>
      </c>
      <c r="F366" s="86" t="s">
        <v>3615</v>
      </c>
      <c r="G366" s="62" t="s">
        <v>3607</v>
      </c>
      <c r="H366" s="65">
        <v>43971</v>
      </c>
      <c r="I366" s="62"/>
      <c r="J366" s="14" t="s">
        <v>8</v>
      </c>
      <c r="K366" s="90">
        <v>6.4999999999999997E-3</v>
      </c>
      <c r="L366" s="68">
        <f>M366/65</f>
        <v>1066.43</v>
      </c>
      <c r="M366" s="68">
        <v>69317.95</v>
      </c>
      <c r="N366" s="68" t="s">
        <v>3608</v>
      </c>
      <c r="O366" s="367"/>
      <c r="P366" s="336">
        <f>M366*R366%</f>
        <v>6931.7950000000001</v>
      </c>
      <c r="Q366" s="336">
        <v>4267.16</v>
      </c>
      <c r="R366" s="336">
        <v>10</v>
      </c>
      <c r="S366" s="1384" t="s">
        <v>2609</v>
      </c>
      <c r="T366" s="91" t="s">
        <v>1796</v>
      </c>
      <c r="U366" s="178" t="s">
        <v>1634</v>
      </c>
    </row>
    <row r="367" spans="1:22" s="1367" customFormat="1" ht="56.25" x14ac:dyDescent="0.25">
      <c r="A367" s="8">
        <v>362</v>
      </c>
      <c r="B367" s="103" t="s">
        <v>1415</v>
      </c>
      <c r="C367" s="14">
        <v>2994517545</v>
      </c>
      <c r="D367" s="8" t="s">
        <v>3427</v>
      </c>
      <c r="E367" s="62" t="s">
        <v>2680</v>
      </c>
      <c r="F367" s="62" t="s">
        <v>1601</v>
      </c>
      <c r="G367" s="62" t="s">
        <v>1418</v>
      </c>
      <c r="H367" s="65" t="s">
        <v>1601</v>
      </c>
      <c r="I367" s="62" t="s">
        <v>611</v>
      </c>
      <c r="J367" s="14" t="s">
        <v>8</v>
      </c>
      <c r="K367" s="1379">
        <v>3.2000000000000002E-3</v>
      </c>
      <c r="L367" s="1380">
        <v>2043.2</v>
      </c>
      <c r="M367" s="68">
        <v>65382.400000000001</v>
      </c>
      <c r="N367" s="68" t="s">
        <v>1419</v>
      </c>
      <c r="O367" s="367"/>
      <c r="P367" s="336">
        <f>M367*R367%</f>
        <v>7192.0640000000003</v>
      </c>
      <c r="Q367" s="336">
        <f t="shared" si="15"/>
        <v>7192.0640000000003</v>
      </c>
      <c r="R367" s="336">
        <v>11</v>
      </c>
      <c r="S367" s="308" t="s">
        <v>2568</v>
      </c>
      <c r="T367" s="94" t="s">
        <v>1752</v>
      </c>
      <c r="U367" s="62" t="s">
        <v>1634</v>
      </c>
    </row>
    <row r="368" spans="1:22" s="1367" customFormat="1" ht="56.25" x14ac:dyDescent="0.25">
      <c r="A368" s="8">
        <v>363</v>
      </c>
      <c r="B368" s="97" t="s">
        <v>3310</v>
      </c>
      <c r="C368" s="14">
        <v>2292120632</v>
      </c>
      <c r="D368" s="8" t="s">
        <v>3426</v>
      </c>
      <c r="E368" s="62" t="s">
        <v>3314</v>
      </c>
      <c r="F368" s="62" t="s">
        <v>3315</v>
      </c>
      <c r="G368" s="62" t="s">
        <v>3316</v>
      </c>
      <c r="H368" s="65" t="s">
        <v>3317</v>
      </c>
      <c r="I368" s="62"/>
      <c r="J368" s="14" t="s">
        <v>8</v>
      </c>
      <c r="K368" s="90">
        <v>5.5999999999999999E-3</v>
      </c>
      <c r="L368" s="68">
        <f>M368/56</f>
        <v>525.41</v>
      </c>
      <c r="M368" s="68">
        <v>29422.959999999999</v>
      </c>
      <c r="N368" s="68" t="s">
        <v>3318</v>
      </c>
      <c r="O368" s="367"/>
      <c r="P368" s="336">
        <f>M368*R368%</f>
        <v>1765.3775999999998</v>
      </c>
      <c r="Q368" s="336">
        <v>1703.63</v>
      </c>
      <c r="R368" s="336">
        <v>6</v>
      </c>
      <c r="S368" s="308">
        <v>45982</v>
      </c>
      <c r="T368" s="91" t="s">
        <v>3325</v>
      </c>
      <c r="U368" s="62" t="s">
        <v>1634</v>
      </c>
    </row>
    <row r="369" spans="1:1" ht="40.5" customHeight="1" x14ac:dyDescent="0.3">
      <c r="A369" s="1358"/>
    </row>
    <row r="370" spans="1:1" s="1420" customFormat="1" ht="24.75" customHeight="1" x14ac:dyDescent="0.3"/>
    <row r="371" spans="1:1" x14ac:dyDescent="0.25">
      <c r="A371" t="s">
        <v>3933</v>
      </c>
    </row>
  </sheetData>
  <mergeCells count="12">
    <mergeCell ref="S3:S4"/>
    <mergeCell ref="T3:T4"/>
    <mergeCell ref="A2:T2"/>
    <mergeCell ref="R3:R4"/>
    <mergeCell ref="Q3:Q4"/>
    <mergeCell ref="M3:M4"/>
    <mergeCell ref="K3:K4"/>
    <mergeCell ref="J3:J4"/>
    <mergeCell ref="E3:E4"/>
    <mergeCell ref="C3:C4"/>
    <mergeCell ref="B3:B4"/>
    <mergeCell ref="A3:A4"/>
  </mergeCells>
  <pageMargins left="0.7" right="0.7" top="0.75" bottom="0.75" header="0.3" footer="0.3"/>
  <pageSetup paperSize="9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W430"/>
  <sheetViews>
    <sheetView topLeftCell="A187" workbookViewId="0">
      <selection activeCell="C187" sqref="C187"/>
    </sheetView>
  </sheetViews>
  <sheetFormatPr defaultRowHeight="15" x14ac:dyDescent="0.25"/>
  <sheetData>
    <row r="1" spans="1:47" x14ac:dyDescent="0.25">
      <c r="A1" s="1361"/>
      <c r="B1" s="1361"/>
      <c r="C1" s="1361"/>
      <c r="D1" s="1361"/>
      <c r="E1" s="1361"/>
      <c r="F1" s="1361"/>
      <c r="G1" s="1361"/>
      <c r="H1" s="1361"/>
      <c r="I1" s="1361"/>
      <c r="J1" s="1361"/>
      <c r="K1" s="1361"/>
      <c r="L1" s="1361"/>
      <c r="M1" s="1361"/>
      <c r="N1" s="1361"/>
      <c r="O1" s="1361"/>
      <c r="P1" s="1361"/>
      <c r="Q1" s="1361"/>
      <c r="R1" s="1361"/>
      <c r="S1" s="1361"/>
      <c r="T1" s="1361"/>
      <c r="U1" s="1361"/>
      <c r="V1" s="1361"/>
      <c r="W1" s="1361"/>
      <c r="X1" s="1361"/>
      <c r="Y1" s="1361"/>
      <c r="Z1" s="1361"/>
      <c r="AA1" s="1361"/>
      <c r="AB1" s="1361"/>
      <c r="AC1" s="1361"/>
      <c r="AD1" s="1361"/>
      <c r="AE1" s="1361"/>
      <c r="AF1" s="1361"/>
      <c r="AG1" s="1361"/>
      <c r="AH1" s="1361"/>
      <c r="AI1" s="1361"/>
      <c r="AJ1" s="1361"/>
      <c r="AK1" s="1361"/>
      <c r="AL1" s="1361"/>
      <c r="AM1" s="1361"/>
      <c r="AN1" s="1361"/>
      <c r="AO1" s="1361"/>
      <c r="AP1" s="1361"/>
      <c r="AQ1" s="1361"/>
      <c r="AR1" s="1361"/>
      <c r="AS1" s="1361"/>
      <c r="AT1" s="1361"/>
      <c r="AU1" s="1361"/>
    </row>
    <row r="2" spans="1:47" ht="281.25" x14ac:dyDescent="0.25">
      <c r="A2" s="423" t="s">
        <v>1876</v>
      </c>
      <c r="B2" s="423" t="s">
        <v>1862</v>
      </c>
      <c r="C2" s="139" t="s">
        <v>1602</v>
      </c>
      <c r="D2" s="139" t="s">
        <v>1603</v>
      </c>
      <c r="E2" s="139" t="s">
        <v>2291</v>
      </c>
      <c r="F2" s="139" t="s">
        <v>1604</v>
      </c>
      <c r="G2" s="139" t="s">
        <v>1605</v>
      </c>
      <c r="H2" s="139" t="s">
        <v>1606</v>
      </c>
      <c r="I2" s="424" t="s">
        <v>1607</v>
      </c>
      <c r="J2" s="139" t="s">
        <v>1608</v>
      </c>
      <c r="K2" s="425" t="s">
        <v>1883</v>
      </c>
      <c r="L2" s="139" t="s">
        <v>1609</v>
      </c>
      <c r="M2" s="426" t="s">
        <v>1610</v>
      </c>
      <c r="N2" s="139" t="s">
        <v>1611</v>
      </c>
      <c r="O2" s="139" t="s">
        <v>1612</v>
      </c>
      <c r="P2" s="139" t="s">
        <v>1613</v>
      </c>
      <c r="Q2" s="137" t="s">
        <v>3339</v>
      </c>
      <c r="R2" s="139" t="s">
        <v>1614</v>
      </c>
      <c r="S2" s="139" t="s">
        <v>1615</v>
      </c>
      <c r="T2" s="427" t="s">
        <v>2098</v>
      </c>
      <c r="U2" s="218" t="s">
        <v>3319</v>
      </c>
      <c r="V2" s="193" t="s">
        <v>3320</v>
      </c>
      <c r="W2" s="218" t="s">
        <v>1980</v>
      </c>
      <c r="X2" s="218" t="s">
        <v>1981</v>
      </c>
      <c r="Y2" s="218" t="s">
        <v>1982</v>
      </c>
      <c r="Z2" s="836" t="s">
        <v>3430</v>
      </c>
      <c r="AA2" s="734" t="s">
        <v>3431</v>
      </c>
      <c r="AB2" s="733" t="s">
        <v>3432</v>
      </c>
      <c r="AC2" s="1046" t="s">
        <v>3433</v>
      </c>
      <c r="AD2" s="1110" t="s">
        <v>3434</v>
      </c>
      <c r="AE2" s="733" t="s">
        <v>3435</v>
      </c>
      <c r="AF2" s="733" t="s">
        <v>3436</v>
      </c>
      <c r="AG2" s="734" t="s">
        <v>3437</v>
      </c>
      <c r="AH2" s="733" t="s">
        <v>3438</v>
      </c>
      <c r="AI2" s="733" t="s">
        <v>3439</v>
      </c>
      <c r="AJ2" s="734" t="s">
        <v>3440</v>
      </c>
      <c r="AK2" s="734" t="s">
        <v>3441</v>
      </c>
      <c r="AL2" s="735" t="s">
        <v>3321</v>
      </c>
      <c r="AM2" s="736" t="s">
        <v>3442</v>
      </c>
      <c r="AN2" s="736" t="s">
        <v>3443</v>
      </c>
      <c r="AO2" s="1213" t="s">
        <v>3574</v>
      </c>
      <c r="AP2" s="800" t="s">
        <v>3322</v>
      </c>
      <c r="AQ2" s="682" t="s">
        <v>3323</v>
      </c>
      <c r="AR2" s="683" t="s">
        <v>3324</v>
      </c>
      <c r="AS2" s="426" t="s">
        <v>1616</v>
      </c>
      <c r="AT2" s="139" t="s">
        <v>2446</v>
      </c>
      <c r="AU2" s="424" t="s">
        <v>1617</v>
      </c>
    </row>
    <row r="3" spans="1:47" ht="19.5" x14ac:dyDescent="0.25">
      <c r="A3" s="506">
        <v>1</v>
      </c>
      <c r="B3" s="35">
        <v>2</v>
      </c>
      <c r="C3" s="35">
        <v>3</v>
      </c>
      <c r="D3" s="35">
        <v>4</v>
      </c>
      <c r="E3" s="35">
        <v>5</v>
      </c>
      <c r="F3" s="35">
        <v>6</v>
      </c>
      <c r="G3" s="35">
        <v>7</v>
      </c>
      <c r="H3" s="35">
        <v>8</v>
      </c>
      <c r="I3" s="35">
        <v>9</v>
      </c>
      <c r="J3" s="35">
        <v>10</v>
      </c>
      <c r="K3" s="35">
        <v>11</v>
      </c>
      <c r="L3" s="35">
        <v>12</v>
      </c>
      <c r="M3" s="35">
        <v>13</v>
      </c>
      <c r="N3" s="35">
        <v>14</v>
      </c>
      <c r="O3" s="35">
        <v>15</v>
      </c>
      <c r="P3" s="35">
        <v>16</v>
      </c>
      <c r="Q3" s="35">
        <v>17</v>
      </c>
      <c r="R3" s="35">
        <v>18</v>
      </c>
      <c r="S3" s="35">
        <v>19</v>
      </c>
      <c r="T3" s="542">
        <v>20</v>
      </c>
      <c r="U3" s="35">
        <v>21</v>
      </c>
      <c r="V3" s="35">
        <v>22</v>
      </c>
      <c r="W3" s="26">
        <v>23</v>
      </c>
      <c r="X3" s="481">
        <v>24</v>
      </c>
      <c r="Y3" s="77">
        <v>25</v>
      </c>
      <c r="Z3" s="837"/>
      <c r="AA3" s="849">
        <v>25</v>
      </c>
      <c r="AB3" s="385">
        <v>26</v>
      </c>
      <c r="AC3" s="405">
        <v>27</v>
      </c>
      <c r="AD3" s="482">
        <v>28</v>
      </c>
      <c r="AE3" s="420">
        <v>29</v>
      </c>
      <c r="AF3" s="461">
        <v>30</v>
      </c>
      <c r="AG3" s="482">
        <v>31</v>
      </c>
      <c r="AH3" s="501">
        <v>32</v>
      </c>
      <c r="AI3" s="35">
        <v>33</v>
      </c>
      <c r="AJ3" s="558">
        <v>34</v>
      </c>
      <c r="AK3" s="423">
        <v>35</v>
      </c>
      <c r="AL3" s="19">
        <v>36</v>
      </c>
      <c r="AM3" s="35">
        <v>37</v>
      </c>
      <c r="AN3" s="35"/>
      <c r="AO3" s="1214">
        <v>38</v>
      </c>
      <c r="AP3" s="77">
        <v>40</v>
      </c>
      <c r="AQ3" s="423">
        <v>41</v>
      </c>
      <c r="AR3" s="19">
        <v>42</v>
      </c>
      <c r="AS3" s="35">
        <v>43</v>
      </c>
      <c r="AT3" s="423">
        <v>44</v>
      </c>
      <c r="AU3" s="19">
        <v>45</v>
      </c>
    </row>
    <row r="4" spans="1:47" ht="150" x14ac:dyDescent="0.25">
      <c r="A4" s="8">
        <v>1</v>
      </c>
      <c r="B4" s="8">
        <v>1</v>
      </c>
      <c r="C4" s="97" t="s">
        <v>0</v>
      </c>
      <c r="D4" s="14" t="s">
        <v>1</v>
      </c>
      <c r="E4" s="8">
        <v>21560766</v>
      </c>
      <c r="F4" s="8">
        <v>6510700000</v>
      </c>
      <c r="G4" s="15" t="s">
        <v>2</v>
      </c>
      <c r="H4" s="15" t="s">
        <v>3</v>
      </c>
      <c r="I4" s="62"/>
      <c r="J4" s="14" t="s">
        <v>4</v>
      </c>
      <c r="K4" s="62"/>
      <c r="L4" s="14" t="s">
        <v>5</v>
      </c>
      <c r="M4" s="65" t="s">
        <v>6</v>
      </c>
      <c r="N4" s="14" t="s">
        <v>7</v>
      </c>
      <c r="O4" s="14" t="s">
        <v>8</v>
      </c>
      <c r="P4" s="90">
        <v>1.17E-2</v>
      </c>
      <c r="Q4" s="68">
        <v>334.63</v>
      </c>
      <c r="R4" s="68">
        <v>39151.71</v>
      </c>
      <c r="S4" s="68" t="s">
        <v>9</v>
      </c>
      <c r="T4" s="367"/>
      <c r="U4" s="332">
        <f t="shared" ref="U4:U23" si="0">R4*W4%</f>
        <v>2349.1025999999997</v>
      </c>
      <c r="V4" s="333">
        <f t="shared" ref="V4:V31" si="1">U4</f>
        <v>2349.1025999999997</v>
      </c>
      <c r="W4" s="333">
        <v>6</v>
      </c>
      <c r="X4" s="333">
        <f t="shared" ref="X4:X23" si="2">V4/(P4*10000)</f>
        <v>20.077799999999996</v>
      </c>
      <c r="Y4" s="334">
        <f t="shared" ref="Y4:Y23" si="3">V4/12</f>
        <v>195.75854999999999</v>
      </c>
      <c r="Z4" s="838"/>
      <c r="AA4" s="850"/>
      <c r="AB4" s="737"/>
      <c r="AC4" s="738"/>
      <c r="AE4" s="421"/>
      <c r="AF4" s="463"/>
      <c r="AG4" s="459"/>
      <c r="AH4" s="503"/>
      <c r="AI4" s="739"/>
      <c r="AJ4" s="740"/>
      <c r="AK4" s="741"/>
      <c r="AL4" s="732"/>
      <c r="AM4" s="340">
        <f t="shared" ref="AM4:AM76" si="4">SUM(Z4:AK4)</f>
        <v>0</v>
      </c>
      <c r="AN4" s="340">
        <f t="shared" ref="AN4:AN76" si="5">SUM(AA4:AL4)</f>
        <v>0</v>
      </c>
      <c r="AO4" s="468"/>
      <c r="AP4" s="333">
        <f t="shared" ref="AP4:AP21" si="6">AM4*100/V4</f>
        <v>0</v>
      </c>
      <c r="AQ4" s="192">
        <v>2349.1</v>
      </c>
      <c r="AR4" s="194">
        <v>99.999889319436292</v>
      </c>
      <c r="AS4" s="308">
        <v>44510</v>
      </c>
      <c r="AT4" s="91" t="s">
        <v>1619</v>
      </c>
      <c r="AU4" s="62" t="s">
        <v>1620</v>
      </c>
    </row>
    <row r="5" spans="1:47" ht="112.5" x14ac:dyDescent="0.25">
      <c r="A5" s="8">
        <v>2</v>
      </c>
      <c r="B5" s="8"/>
      <c r="C5" s="97" t="s">
        <v>0</v>
      </c>
      <c r="D5" s="14" t="s">
        <v>1</v>
      </c>
      <c r="E5" s="8">
        <v>21560766</v>
      </c>
      <c r="F5" s="16">
        <v>6510700000</v>
      </c>
      <c r="G5" s="8" t="s">
        <v>10</v>
      </c>
      <c r="H5" s="8" t="s">
        <v>11</v>
      </c>
      <c r="I5" s="81"/>
      <c r="J5" s="63" t="s">
        <v>2783</v>
      </c>
      <c r="K5" s="81" t="s">
        <v>2784</v>
      </c>
      <c r="L5" s="93" t="s">
        <v>2782</v>
      </c>
      <c r="M5" s="507" t="s">
        <v>1095</v>
      </c>
      <c r="N5" s="63" t="s">
        <v>2785</v>
      </c>
      <c r="O5" s="14" t="s">
        <v>8</v>
      </c>
      <c r="P5" s="90">
        <v>0.57389999999999997</v>
      </c>
      <c r="Q5" s="68">
        <v>832.89</v>
      </c>
      <c r="R5" s="68">
        <v>4779955.71</v>
      </c>
      <c r="S5" s="68" t="s">
        <v>12</v>
      </c>
      <c r="T5" s="367"/>
      <c r="U5" s="332">
        <f t="shared" si="0"/>
        <v>286797.34259999997</v>
      </c>
      <c r="V5" s="333">
        <f t="shared" si="1"/>
        <v>286797.34259999997</v>
      </c>
      <c r="W5" s="333">
        <v>6</v>
      </c>
      <c r="X5" s="333">
        <f t="shared" si="2"/>
        <v>49.973399999999998</v>
      </c>
      <c r="Y5" s="334">
        <f t="shared" si="3"/>
        <v>23899.778549999999</v>
      </c>
      <c r="Z5" s="807"/>
      <c r="AA5" s="851">
        <v>51056.21</v>
      </c>
      <c r="AB5" s="386">
        <v>51056.21</v>
      </c>
      <c r="AC5" s="406"/>
      <c r="AD5" s="459">
        <v>51056.21</v>
      </c>
      <c r="AE5" s="421"/>
      <c r="AF5" s="463"/>
      <c r="AG5" s="459"/>
      <c r="AH5" s="503"/>
      <c r="AI5" s="340"/>
      <c r="AJ5" s="740"/>
      <c r="AK5" s="741"/>
      <c r="AL5" s="732"/>
      <c r="AM5" s="340">
        <f t="shared" si="4"/>
        <v>153168.63</v>
      </c>
      <c r="AN5" s="340">
        <f t="shared" si="5"/>
        <v>153168.63</v>
      </c>
      <c r="AO5" s="468"/>
      <c r="AP5" s="333">
        <f t="shared" si="6"/>
        <v>53.406572254620329</v>
      </c>
      <c r="AQ5" s="192">
        <v>305573.20999999996</v>
      </c>
      <c r="AR5" s="194">
        <v>106.54673688039954</v>
      </c>
      <c r="AS5" s="441" t="s">
        <v>1618</v>
      </c>
      <c r="AT5" s="94" t="s">
        <v>1621</v>
      </c>
      <c r="AU5" s="62" t="s">
        <v>1620</v>
      </c>
    </row>
    <row r="6" spans="1:47" ht="168.75" x14ac:dyDescent="0.25">
      <c r="A6" s="8">
        <v>3</v>
      </c>
      <c r="B6" s="9"/>
      <c r="C6" s="98" t="s">
        <v>13</v>
      </c>
      <c r="D6" s="18" t="s">
        <v>1</v>
      </c>
      <c r="E6" s="8">
        <v>21560766</v>
      </c>
      <c r="F6" s="19">
        <v>6510700000</v>
      </c>
      <c r="G6" s="9" t="s">
        <v>14</v>
      </c>
      <c r="H6" s="9" t="s">
        <v>15</v>
      </c>
      <c r="I6" s="13" t="s">
        <v>2384</v>
      </c>
      <c r="J6" s="10" t="s">
        <v>2659</v>
      </c>
      <c r="K6" s="8" t="s">
        <v>1567</v>
      </c>
      <c r="L6" s="10" t="s">
        <v>16</v>
      </c>
      <c r="M6" s="20" t="s">
        <v>17</v>
      </c>
      <c r="N6" s="20" t="s">
        <v>2916</v>
      </c>
      <c r="O6" s="10" t="s">
        <v>8</v>
      </c>
      <c r="P6" s="21">
        <v>9.0800000000000006E-2</v>
      </c>
      <c r="Q6" s="12">
        <v>1232.0899999999999</v>
      </c>
      <c r="R6" s="12">
        <f>Q6*908</f>
        <v>1118737.72</v>
      </c>
      <c r="S6" s="68" t="s">
        <v>2385</v>
      </c>
      <c r="T6" s="367"/>
      <c r="U6" s="332">
        <f t="shared" si="0"/>
        <v>67124.263200000001</v>
      </c>
      <c r="V6" s="333">
        <f t="shared" si="1"/>
        <v>67124.263200000001</v>
      </c>
      <c r="W6" s="333">
        <v>6</v>
      </c>
      <c r="X6" s="333">
        <f t="shared" si="2"/>
        <v>73.925399999999996</v>
      </c>
      <c r="Y6" s="334">
        <f t="shared" si="3"/>
        <v>5593.6886000000004</v>
      </c>
      <c r="Z6" s="807"/>
      <c r="AA6" s="711"/>
      <c r="AB6" s="340"/>
      <c r="AC6" s="406"/>
      <c r="AD6" s="1111"/>
      <c r="AE6" s="421"/>
      <c r="AF6" s="463"/>
      <c r="AG6" s="459"/>
      <c r="AH6" s="503"/>
      <c r="AI6" s="340"/>
      <c r="AJ6" s="740"/>
      <c r="AK6" s="741"/>
      <c r="AL6" s="732"/>
      <c r="AM6" s="340">
        <f t="shared" si="4"/>
        <v>0</v>
      </c>
      <c r="AN6" s="340">
        <f t="shared" si="5"/>
        <v>0</v>
      </c>
      <c r="AO6" s="468"/>
      <c r="AP6" s="333">
        <f t="shared" si="6"/>
        <v>0</v>
      </c>
      <c r="AQ6" s="192">
        <v>118435.15</v>
      </c>
      <c r="AR6" s="416">
        <v>176.44163876647215</v>
      </c>
      <c r="AS6" s="442">
        <v>45428</v>
      </c>
      <c r="AT6" s="23" t="s">
        <v>1622</v>
      </c>
      <c r="AU6" s="13" t="s">
        <v>1620</v>
      </c>
    </row>
    <row r="7" spans="1:47" ht="225" x14ac:dyDescent="0.25">
      <c r="A7" s="8">
        <v>4</v>
      </c>
      <c r="B7" s="9">
        <v>2</v>
      </c>
      <c r="C7" s="98" t="s">
        <v>18</v>
      </c>
      <c r="D7" s="80" t="s">
        <v>2386</v>
      </c>
      <c r="E7" s="10" t="s">
        <v>2387</v>
      </c>
      <c r="F7" s="19">
        <v>6510700000</v>
      </c>
      <c r="G7" s="19" t="s">
        <v>19</v>
      </c>
      <c r="H7" s="19" t="s">
        <v>20</v>
      </c>
      <c r="I7" s="75" t="s">
        <v>2384</v>
      </c>
      <c r="J7" s="10" t="s">
        <v>2660</v>
      </c>
      <c r="K7" s="65">
        <v>41817</v>
      </c>
      <c r="L7" s="10" t="s">
        <v>21</v>
      </c>
      <c r="M7" s="20" t="s">
        <v>17</v>
      </c>
      <c r="N7" s="10" t="s">
        <v>2916</v>
      </c>
      <c r="O7" s="10" t="s">
        <v>8</v>
      </c>
      <c r="P7" s="21">
        <v>6.7500000000000004E-2</v>
      </c>
      <c r="Q7" s="12">
        <v>1232.0899999999999</v>
      </c>
      <c r="R7" s="12">
        <v>831660.75</v>
      </c>
      <c r="S7" s="68" t="s">
        <v>2388</v>
      </c>
      <c r="T7" s="367"/>
      <c r="U7" s="332">
        <f t="shared" si="0"/>
        <v>49899.644999999997</v>
      </c>
      <c r="V7" s="333">
        <f t="shared" si="1"/>
        <v>49899.644999999997</v>
      </c>
      <c r="W7" s="333">
        <v>6</v>
      </c>
      <c r="X7" s="333">
        <f t="shared" si="2"/>
        <v>73.925399999999996</v>
      </c>
      <c r="Y7" s="334">
        <f t="shared" si="3"/>
        <v>4158.30375</v>
      </c>
      <c r="Z7" s="807"/>
      <c r="AA7" s="711">
        <v>917.91</v>
      </c>
      <c r="AB7" s="340">
        <v>917.91</v>
      </c>
      <c r="AC7" s="406"/>
      <c r="AD7" s="459"/>
      <c r="AE7" s="421"/>
      <c r="AF7" s="463"/>
      <c r="AG7" s="459"/>
      <c r="AH7" s="503"/>
      <c r="AI7" s="340"/>
      <c r="AJ7" s="740"/>
      <c r="AK7" s="742"/>
      <c r="AL7" s="732"/>
      <c r="AM7" s="340">
        <f t="shared" si="4"/>
        <v>1835.82</v>
      </c>
      <c r="AN7" s="340">
        <f t="shared" si="5"/>
        <v>1835.82</v>
      </c>
      <c r="AO7" s="468"/>
      <c r="AP7" s="333">
        <f t="shared" si="6"/>
        <v>3.679024169410424</v>
      </c>
      <c r="AQ7" s="192">
        <v>122487.81</v>
      </c>
      <c r="AR7" s="416">
        <v>245.46829942377346</v>
      </c>
      <c r="AS7" s="442">
        <v>45428</v>
      </c>
      <c r="AT7" s="23" t="s">
        <v>1623</v>
      </c>
      <c r="AU7" s="13" t="s">
        <v>1620</v>
      </c>
    </row>
    <row r="8" spans="1:47" ht="18.75" x14ac:dyDescent="0.25">
      <c r="A8" s="1119"/>
      <c r="B8" s="423"/>
      <c r="C8" s="1120"/>
      <c r="D8" s="1121"/>
      <c r="E8" s="1122"/>
      <c r="F8" s="1123"/>
      <c r="G8" s="1123"/>
      <c r="H8" s="1123"/>
      <c r="I8" s="643"/>
      <c r="J8" s="139"/>
      <c r="K8" s="630"/>
      <c r="L8" s="139"/>
      <c r="M8" s="426"/>
      <c r="N8" s="139"/>
      <c r="O8" s="139"/>
      <c r="P8" s="1124"/>
      <c r="Q8" s="137"/>
      <c r="R8" s="137"/>
      <c r="S8" s="163"/>
      <c r="T8" s="1125"/>
      <c r="U8" s="1189"/>
      <c r="V8" s="218">
        <f>V4+V5+V6+V7</f>
        <v>406170.35339999996</v>
      </c>
      <c r="W8" s="218"/>
      <c r="X8" s="218"/>
      <c r="Y8" s="218">
        <f t="shared" si="3"/>
        <v>33847.529449999995</v>
      </c>
      <c r="Z8" s="1268"/>
      <c r="AA8" s="1202"/>
      <c r="AB8" s="1202"/>
      <c r="AC8" s="1196"/>
      <c r="AD8" s="1290"/>
      <c r="AE8" s="1198"/>
      <c r="AF8" s="1191"/>
      <c r="AG8" s="1197"/>
      <c r="AH8" s="1199"/>
      <c r="AI8" s="1202"/>
      <c r="AJ8" s="1291"/>
      <c r="AK8" s="1292"/>
      <c r="AL8" s="1293"/>
      <c r="AM8" s="1202">
        <f>AM4+AM5+AM6+AM7</f>
        <v>155004.45000000001</v>
      </c>
      <c r="AN8" s="1202">
        <f>AN4+AN5+AN6+AN7</f>
        <v>155004.45000000001</v>
      </c>
      <c r="AO8" s="1190">
        <f>(Y8*3)-AM8</f>
        <v>-53461.861650000035</v>
      </c>
      <c r="AP8" s="218">
        <f t="shared" si="6"/>
        <v>38.162423402515138</v>
      </c>
      <c r="AQ8" s="700"/>
      <c r="AR8" s="1126"/>
      <c r="AS8" s="1127"/>
      <c r="AT8" s="1128"/>
      <c r="AU8" s="424"/>
    </row>
    <row r="9" spans="1:47" ht="281.25" x14ac:dyDescent="0.25">
      <c r="A9" s="8">
        <v>5</v>
      </c>
      <c r="B9" s="8">
        <v>3</v>
      </c>
      <c r="C9" s="97" t="s">
        <v>22</v>
      </c>
      <c r="D9" s="105" t="s">
        <v>23</v>
      </c>
      <c r="E9" s="177" t="s">
        <v>1420</v>
      </c>
      <c r="F9" s="8">
        <v>6510700000</v>
      </c>
      <c r="G9" s="8" t="s">
        <v>24</v>
      </c>
      <c r="H9" s="8" t="s">
        <v>25</v>
      </c>
      <c r="I9" s="62"/>
      <c r="J9" s="14" t="s">
        <v>26</v>
      </c>
      <c r="K9" s="62"/>
      <c r="L9" s="14"/>
      <c r="M9" s="65" t="s">
        <v>27</v>
      </c>
      <c r="N9" s="14"/>
      <c r="O9" s="14" t="s">
        <v>8</v>
      </c>
      <c r="P9" s="14">
        <v>1.8789</v>
      </c>
      <c r="Q9" s="14">
        <f>R9/18789</f>
        <v>328.71000000000004</v>
      </c>
      <c r="R9" s="68">
        <v>6176132.1900000004</v>
      </c>
      <c r="S9" s="14" t="s">
        <v>3416</v>
      </c>
      <c r="T9" s="367"/>
      <c r="U9" s="336">
        <f t="shared" si="0"/>
        <v>432329.2533000001</v>
      </c>
      <c r="V9" s="337">
        <f t="shared" si="1"/>
        <v>432329.2533000001</v>
      </c>
      <c r="W9" s="337">
        <v>7</v>
      </c>
      <c r="X9" s="337">
        <f t="shared" si="2"/>
        <v>23.009700000000006</v>
      </c>
      <c r="Y9" s="338">
        <f t="shared" si="3"/>
        <v>36027.437775000006</v>
      </c>
      <c r="Z9" s="807"/>
      <c r="AA9" s="743">
        <v>149554.9</v>
      </c>
      <c r="AB9" s="396">
        <v>149554.9</v>
      </c>
      <c r="AC9" s="464"/>
      <c r="AD9" s="1109"/>
      <c r="AE9" s="430"/>
      <c r="AF9" s="467"/>
      <c r="AG9" s="458"/>
      <c r="AH9" s="745"/>
      <c r="AI9" s="396"/>
      <c r="AJ9" s="746"/>
      <c r="AK9" s="747"/>
      <c r="AL9" s="748"/>
      <c r="AM9" s="340">
        <f t="shared" si="4"/>
        <v>299109.8</v>
      </c>
      <c r="AN9" s="340">
        <f t="shared" si="5"/>
        <v>299109.8</v>
      </c>
      <c r="AO9" s="468"/>
      <c r="AP9" s="337">
        <f t="shared" si="6"/>
        <v>69.185649066509725</v>
      </c>
      <c r="AQ9" s="392">
        <v>505090.67000000004</v>
      </c>
      <c r="AR9" s="684">
        <v>116.83364760915995</v>
      </c>
      <c r="AS9" s="308" t="s">
        <v>2564</v>
      </c>
      <c r="AT9" s="14" t="s">
        <v>1625</v>
      </c>
      <c r="AU9" s="62" t="s">
        <v>1626</v>
      </c>
    </row>
    <row r="10" spans="1:47" ht="281.25" x14ac:dyDescent="0.25">
      <c r="A10" s="8">
        <v>6</v>
      </c>
      <c r="B10" s="9"/>
      <c r="C10" s="96" t="s">
        <v>28</v>
      </c>
      <c r="D10" s="80" t="s">
        <v>23</v>
      </c>
      <c r="E10" s="24" t="s">
        <v>1420</v>
      </c>
      <c r="F10" s="9">
        <v>6510700000</v>
      </c>
      <c r="G10" s="9" t="s">
        <v>29</v>
      </c>
      <c r="H10" s="9" t="s">
        <v>25</v>
      </c>
      <c r="I10" s="13"/>
      <c r="J10" s="10" t="s">
        <v>26</v>
      </c>
      <c r="K10" s="13"/>
      <c r="L10" s="10"/>
      <c r="M10" s="20" t="s">
        <v>27</v>
      </c>
      <c r="N10" s="10"/>
      <c r="O10" s="10" t="s">
        <v>8</v>
      </c>
      <c r="P10" s="10">
        <v>0.1447</v>
      </c>
      <c r="Q10" s="10">
        <v>328.7</v>
      </c>
      <c r="R10" s="12">
        <v>475628.89999999997</v>
      </c>
      <c r="S10" s="10"/>
      <c r="T10" s="368"/>
      <c r="U10" s="332">
        <f t="shared" si="0"/>
        <v>33294.023000000001</v>
      </c>
      <c r="V10" s="333">
        <f t="shared" si="1"/>
        <v>33294.023000000001</v>
      </c>
      <c r="W10" s="333">
        <v>7</v>
      </c>
      <c r="X10" s="333">
        <f t="shared" si="2"/>
        <v>23.009</v>
      </c>
      <c r="Y10" s="334">
        <f t="shared" si="3"/>
        <v>2774.5019166666666</v>
      </c>
      <c r="Z10" s="807"/>
      <c r="AA10" s="711"/>
      <c r="AB10" s="340"/>
      <c r="AC10" s="406"/>
      <c r="AD10" s="459"/>
      <c r="AE10" s="430"/>
      <c r="AF10" s="463"/>
      <c r="AG10" s="459"/>
      <c r="AH10" s="503"/>
      <c r="AI10" s="340"/>
      <c r="AJ10" s="740"/>
      <c r="AK10" s="741"/>
      <c r="AL10" s="732"/>
      <c r="AM10" s="340">
        <f t="shared" si="4"/>
        <v>0</v>
      </c>
      <c r="AN10" s="340">
        <f t="shared" si="5"/>
        <v>0</v>
      </c>
      <c r="AO10" s="468"/>
      <c r="AP10" s="333">
        <f t="shared" si="6"/>
        <v>0</v>
      </c>
      <c r="AQ10" s="192">
        <v>49554.9</v>
      </c>
      <c r="AR10" s="194">
        <v>148.84022877019098</v>
      </c>
      <c r="AS10" s="140" t="s">
        <v>1624</v>
      </c>
      <c r="AT10" s="10" t="s">
        <v>1625</v>
      </c>
      <c r="AU10" s="13" t="s">
        <v>1626</v>
      </c>
    </row>
    <row r="11" spans="1:47" ht="281.25" x14ac:dyDescent="0.25">
      <c r="A11" s="8">
        <v>7</v>
      </c>
      <c r="B11" s="9"/>
      <c r="C11" s="96" t="s">
        <v>28</v>
      </c>
      <c r="D11" s="80" t="s">
        <v>23</v>
      </c>
      <c r="E11" s="24" t="s">
        <v>1420</v>
      </c>
      <c r="F11" s="9">
        <v>6510700000</v>
      </c>
      <c r="G11" s="9" t="s">
        <v>30</v>
      </c>
      <c r="H11" s="9" t="s">
        <v>25</v>
      </c>
      <c r="I11" s="13"/>
      <c r="J11" s="10" t="s">
        <v>26</v>
      </c>
      <c r="K11" s="13"/>
      <c r="L11" s="10"/>
      <c r="M11" s="20" t="s">
        <v>27</v>
      </c>
      <c r="N11" s="10"/>
      <c r="O11" s="10" t="s">
        <v>8</v>
      </c>
      <c r="P11" s="10">
        <v>9.7000000000000003E-3</v>
      </c>
      <c r="Q11" s="10">
        <v>328.7</v>
      </c>
      <c r="R11" s="12">
        <v>31883.899999999998</v>
      </c>
      <c r="S11" s="10" t="s">
        <v>3415</v>
      </c>
      <c r="T11" s="368"/>
      <c r="U11" s="332">
        <f t="shared" si="0"/>
        <v>2231.873</v>
      </c>
      <c r="V11" s="333">
        <f t="shared" si="1"/>
        <v>2231.873</v>
      </c>
      <c r="W11" s="333">
        <v>7</v>
      </c>
      <c r="X11" s="333">
        <f t="shared" si="2"/>
        <v>23.009</v>
      </c>
      <c r="Y11" s="334">
        <f t="shared" si="3"/>
        <v>185.98941666666667</v>
      </c>
      <c r="Z11" s="807"/>
      <c r="AA11" s="711"/>
      <c r="AB11" s="340"/>
      <c r="AC11" s="406"/>
      <c r="AD11" s="459"/>
      <c r="AE11" s="421"/>
      <c r="AF11" s="463"/>
      <c r="AG11" s="459"/>
      <c r="AH11" s="503"/>
      <c r="AI11" s="340"/>
      <c r="AJ11" s="749"/>
      <c r="AK11" s="750"/>
      <c r="AL11" s="732"/>
      <c r="AM11" s="340">
        <f t="shared" si="4"/>
        <v>0</v>
      </c>
      <c r="AN11" s="340">
        <f t="shared" si="5"/>
        <v>0</v>
      </c>
      <c r="AO11" s="468"/>
      <c r="AP11" s="333">
        <f t="shared" si="6"/>
        <v>0</v>
      </c>
      <c r="AQ11" s="192">
        <v>0</v>
      </c>
      <c r="AR11" s="194">
        <v>0</v>
      </c>
      <c r="AS11" s="140">
        <v>52698</v>
      </c>
      <c r="AT11" s="10" t="s">
        <v>1625</v>
      </c>
      <c r="AU11" s="13" t="s">
        <v>1626</v>
      </c>
    </row>
    <row r="12" spans="1:47" ht="281.25" x14ac:dyDescent="0.25">
      <c r="A12" s="8">
        <v>8</v>
      </c>
      <c r="B12" s="9"/>
      <c r="C12" s="96" t="s">
        <v>28</v>
      </c>
      <c r="D12" s="80" t="s">
        <v>23</v>
      </c>
      <c r="E12" s="24" t="s">
        <v>1420</v>
      </c>
      <c r="F12" s="9">
        <v>6510700000</v>
      </c>
      <c r="G12" s="9" t="s">
        <v>31</v>
      </c>
      <c r="H12" s="9" t="s">
        <v>25</v>
      </c>
      <c r="I12" s="13"/>
      <c r="J12" s="10" t="s">
        <v>26</v>
      </c>
      <c r="K12" s="13"/>
      <c r="L12" s="10"/>
      <c r="M12" s="20" t="s">
        <v>27</v>
      </c>
      <c r="N12" s="10"/>
      <c r="O12" s="10" t="s">
        <v>8</v>
      </c>
      <c r="P12" s="10">
        <v>4.7319000000000004</v>
      </c>
      <c r="Q12" s="10">
        <f>R12/47319</f>
        <v>684.81999999999994</v>
      </c>
      <c r="R12" s="12">
        <v>32404997.579999998</v>
      </c>
      <c r="S12" s="10" t="s">
        <v>3414</v>
      </c>
      <c r="T12" s="368"/>
      <c r="U12" s="332">
        <f t="shared" si="0"/>
        <v>1215187.4092499998</v>
      </c>
      <c r="V12" s="333">
        <f t="shared" si="1"/>
        <v>1215187.4092499998</v>
      </c>
      <c r="W12" s="333">
        <v>3.75</v>
      </c>
      <c r="X12" s="333">
        <f t="shared" si="2"/>
        <v>25.680749999999993</v>
      </c>
      <c r="Y12" s="334">
        <f t="shared" si="3"/>
        <v>101265.61743749998</v>
      </c>
      <c r="Z12" s="807"/>
      <c r="AA12" s="711"/>
      <c r="AB12" s="340"/>
      <c r="AC12" s="406"/>
      <c r="AD12" s="458"/>
      <c r="AE12" s="421"/>
      <c r="AF12" s="463"/>
      <c r="AG12" s="459"/>
      <c r="AH12" s="503"/>
      <c r="AI12" s="340"/>
      <c r="AJ12" s="740"/>
      <c r="AK12" s="741"/>
      <c r="AL12" s="732"/>
      <c r="AM12" s="340">
        <f t="shared" si="4"/>
        <v>0</v>
      </c>
      <c r="AN12" s="340">
        <f t="shared" si="5"/>
        <v>0</v>
      </c>
      <c r="AO12" s="468"/>
      <c r="AP12" s="333">
        <f t="shared" si="6"/>
        <v>0</v>
      </c>
      <c r="AQ12" s="192">
        <v>1246884.3</v>
      </c>
      <c r="AR12" s="194">
        <v>102.61139199780055</v>
      </c>
      <c r="AS12" s="140">
        <v>52698</v>
      </c>
      <c r="AT12" s="17" t="s">
        <v>1628</v>
      </c>
      <c r="AU12" s="38" t="s">
        <v>1629</v>
      </c>
    </row>
    <row r="13" spans="1:47" ht="281.25" x14ac:dyDescent="0.25">
      <c r="A13" s="8">
        <v>9</v>
      </c>
      <c r="B13" s="9"/>
      <c r="C13" s="96" t="s">
        <v>28</v>
      </c>
      <c r="D13" s="80" t="s">
        <v>23</v>
      </c>
      <c r="E13" s="24" t="s">
        <v>1420</v>
      </c>
      <c r="F13" s="9">
        <v>6510700000</v>
      </c>
      <c r="G13" s="9" t="s">
        <v>32</v>
      </c>
      <c r="H13" s="9" t="s">
        <v>25</v>
      </c>
      <c r="I13" s="13"/>
      <c r="J13" s="10" t="s">
        <v>26</v>
      </c>
      <c r="K13" s="13"/>
      <c r="L13" s="10"/>
      <c r="M13" s="20" t="s">
        <v>27</v>
      </c>
      <c r="N13" s="10"/>
      <c r="O13" s="10" t="s">
        <v>8</v>
      </c>
      <c r="P13" s="10">
        <v>3.6299999999999999E-2</v>
      </c>
      <c r="Q13" s="10">
        <v>684.8</v>
      </c>
      <c r="R13" s="12">
        <v>248582.39999999999</v>
      </c>
      <c r="S13" s="10"/>
      <c r="T13" s="368"/>
      <c r="U13" s="332">
        <f t="shared" si="0"/>
        <v>12429.12</v>
      </c>
      <c r="V13" s="333">
        <f t="shared" si="1"/>
        <v>12429.12</v>
      </c>
      <c r="W13" s="333">
        <v>5</v>
      </c>
      <c r="X13" s="333">
        <f t="shared" si="2"/>
        <v>34.24</v>
      </c>
      <c r="Y13" s="334">
        <f t="shared" si="3"/>
        <v>1035.76</v>
      </c>
      <c r="Z13" s="807"/>
      <c r="AA13" s="711"/>
      <c r="AB13" s="340"/>
      <c r="AC13" s="406"/>
      <c r="AD13" s="459"/>
      <c r="AE13" s="421"/>
      <c r="AF13" s="463"/>
      <c r="AG13" s="459"/>
      <c r="AH13" s="503"/>
      <c r="AI13" s="340"/>
      <c r="AJ13" s="740"/>
      <c r="AK13" s="741"/>
      <c r="AL13" s="732"/>
      <c r="AM13" s="340">
        <f t="shared" si="4"/>
        <v>0</v>
      </c>
      <c r="AN13" s="340">
        <f t="shared" si="5"/>
        <v>0</v>
      </c>
      <c r="AO13" s="468"/>
      <c r="AP13" s="333">
        <f t="shared" si="6"/>
        <v>0</v>
      </c>
      <c r="AQ13" s="192">
        <v>0</v>
      </c>
      <c r="AR13" s="194">
        <v>0</v>
      </c>
      <c r="AS13" s="140" t="s">
        <v>1627</v>
      </c>
      <c r="AT13" s="17" t="s">
        <v>1628</v>
      </c>
      <c r="AU13" s="38" t="s">
        <v>1629</v>
      </c>
    </row>
    <row r="14" spans="1:47" ht="281.25" x14ac:dyDescent="0.25">
      <c r="A14" s="8">
        <v>10</v>
      </c>
      <c r="B14" s="9"/>
      <c r="C14" s="96" t="s">
        <v>28</v>
      </c>
      <c r="D14" s="80" t="s">
        <v>23</v>
      </c>
      <c r="E14" s="24" t="s">
        <v>1420</v>
      </c>
      <c r="F14" s="9">
        <v>6510700000</v>
      </c>
      <c r="G14" s="9" t="s">
        <v>33</v>
      </c>
      <c r="H14" s="9" t="s">
        <v>25</v>
      </c>
      <c r="I14" s="13"/>
      <c r="J14" s="10" t="s">
        <v>26</v>
      </c>
      <c r="K14" s="13"/>
      <c r="L14" s="10"/>
      <c r="M14" s="20" t="s">
        <v>27</v>
      </c>
      <c r="N14" s="10"/>
      <c r="O14" s="10" t="s">
        <v>8</v>
      </c>
      <c r="P14" s="10">
        <v>6.8999999999999999E-3</v>
      </c>
      <c r="Q14" s="10">
        <v>684.8</v>
      </c>
      <c r="R14" s="12">
        <v>47251.199999999997</v>
      </c>
      <c r="S14" s="10"/>
      <c r="T14" s="368"/>
      <c r="U14" s="332">
        <f t="shared" si="0"/>
        <v>2362.56</v>
      </c>
      <c r="V14" s="333">
        <f t="shared" si="1"/>
        <v>2362.56</v>
      </c>
      <c r="W14" s="333">
        <v>5</v>
      </c>
      <c r="X14" s="333">
        <f t="shared" si="2"/>
        <v>34.24</v>
      </c>
      <c r="Y14" s="334">
        <f t="shared" si="3"/>
        <v>196.88</v>
      </c>
      <c r="Z14" s="807"/>
      <c r="AA14" s="711"/>
      <c r="AB14" s="340"/>
      <c r="AC14" s="406"/>
      <c r="AD14" s="459"/>
      <c r="AE14" s="421"/>
      <c r="AF14" s="463"/>
      <c r="AG14" s="459"/>
      <c r="AH14" s="503"/>
      <c r="AI14" s="340"/>
      <c r="AJ14" s="740"/>
      <c r="AK14" s="741"/>
      <c r="AL14" s="732"/>
      <c r="AM14" s="340">
        <f t="shared" si="4"/>
        <v>0</v>
      </c>
      <c r="AN14" s="340">
        <f t="shared" si="5"/>
        <v>0</v>
      </c>
      <c r="AO14" s="468"/>
      <c r="AP14" s="333">
        <f t="shared" si="6"/>
        <v>0</v>
      </c>
      <c r="AQ14" s="192">
        <v>12429.12</v>
      </c>
      <c r="AR14" s="194">
        <v>526.08695652173913</v>
      </c>
      <c r="AS14" s="140" t="s">
        <v>1627</v>
      </c>
      <c r="AT14" s="17" t="s">
        <v>1628</v>
      </c>
      <c r="AU14" s="38" t="s">
        <v>1629</v>
      </c>
    </row>
    <row r="15" spans="1:47" ht="281.25" x14ac:dyDescent="0.25">
      <c r="A15" s="8">
        <v>11</v>
      </c>
      <c r="B15" s="9"/>
      <c r="C15" s="96" t="s">
        <v>28</v>
      </c>
      <c r="D15" s="80" t="s">
        <v>23</v>
      </c>
      <c r="E15" s="24" t="s">
        <v>1420</v>
      </c>
      <c r="F15" s="9">
        <v>6510700000</v>
      </c>
      <c r="G15" s="9" t="s">
        <v>34</v>
      </c>
      <c r="H15" s="9" t="s">
        <v>25</v>
      </c>
      <c r="I15" s="13"/>
      <c r="J15" s="10" t="s">
        <v>26</v>
      </c>
      <c r="K15" s="13"/>
      <c r="L15" s="10"/>
      <c r="M15" s="20" t="s">
        <v>27</v>
      </c>
      <c r="N15" s="10"/>
      <c r="O15" s="10" t="s">
        <v>8</v>
      </c>
      <c r="P15" s="10">
        <v>2.0799999999999999E-2</v>
      </c>
      <c r="Q15" s="10">
        <v>684.8</v>
      </c>
      <c r="R15" s="12">
        <v>142438.39999999999</v>
      </c>
      <c r="S15" s="10"/>
      <c r="T15" s="368"/>
      <c r="U15" s="332">
        <f t="shared" si="0"/>
        <v>7121.92</v>
      </c>
      <c r="V15" s="333">
        <f t="shared" si="1"/>
        <v>7121.92</v>
      </c>
      <c r="W15" s="333">
        <v>5</v>
      </c>
      <c r="X15" s="333">
        <f t="shared" si="2"/>
        <v>34.24</v>
      </c>
      <c r="Y15" s="334">
        <f t="shared" si="3"/>
        <v>593.49333333333334</v>
      </c>
      <c r="Z15" s="807"/>
      <c r="AA15" s="711"/>
      <c r="AB15" s="340"/>
      <c r="AC15" s="406"/>
      <c r="AD15" s="459"/>
      <c r="AE15" s="421"/>
      <c r="AF15" s="463"/>
      <c r="AG15" s="459"/>
      <c r="AH15" s="503"/>
      <c r="AI15" s="340"/>
      <c r="AJ15" s="740"/>
      <c r="AK15" s="741"/>
      <c r="AL15" s="732"/>
      <c r="AM15" s="340">
        <f t="shared" si="4"/>
        <v>0</v>
      </c>
      <c r="AN15" s="340">
        <f t="shared" si="5"/>
        <v>0</v>
      </c>
      <c r="AO15" s="468"/>
      <c r="AP15" s="333">
        <f t="shared" si="6"/>
        <v>0</v>
      </c>
      <c r="AQ15" s="192">
        <v>2362.56</v>
      </c>
      <c r="AR15" s="194">
        <v>33.17307692307692</v>
      </c>
      <c r="AS15" s="140">
        <v>52698</v>
      </c>
      <c r="AT15" s="17" t="s">
        <v>1628</v>
      </c>
      <c r="AU15" s="38" t="s">
        <v>1629</v>
      </c>
    </row>
    <row r="16" spans="1:47" ht="281.25" x14ac:dyDescent="0.25">
      <c r="A16" s="8">
        <v>12</v>
      </c>
      <c r="B16" s="9"/>
      <c r="C16" s="96" t="s">
        <v>28</v>
      </c>
      <c r="D16" s="80" t="s">
        <v>23</v>
      </c>
      <c r="E16" s="24" t="s">
        <v>1420</v>
      </c>
      <c r="F16" s="9">
        <v>6510700000</v>
      </c>
      <c r="G16" s="9" t="s">
        <v>35</v>
      </c>
      <c r="H16" s="9" t="s">
        <v>25</v>
      </c>
      <c r="I16" s="13"/>
      <c r="J16" s="10" t="s">
        <v>26</v>
      </c>
      <c r="K16" s="13"/>
      <c r="L16" s="10"/>
      <c r="M16" s="20" t="s">
        <v>27</v>
      </c>
      <c r="N16" s="10"/>
      <c r="O16" s="10" t="s">
        <v>8</v>
      </c>
      <c r="P16" s="10">
        <v>1.0500000000000001E-2</v>
      </c>
      <c r="Q16" s="10">
        <v>684.8</v>
      </c>
      <c r="R16" s="12">
        <v>71904</v>
      </c>
      <c r="S16" s="10"/>
      <c r="T16" s="368"/>
      <c r="U16" s="332">
        <f t="shared" si="0"/>
        <v>3595.2000000000003</v>
      </c>
      <c r="V16" s="333">
        <f t="shared" si="1"/>
        <v>3595.2000000000003</v>
      </c>
      <c r="W16" s="333">
        <v>5</v>
      </c>
      <c r="X16" s="333">
        <f t="shared" si="2"/>
        <v>34.24</v>
      </c>
      <c r="Y16" s="334">
        <f t="shared" si="3"/>
        <v>299.60000000000002</v>
      </c>
      <c r="Z16" s="807"/>
      <c r="AA16" s="711"/>
      <c r="AB16" s="340"/>
      <c r="AC16" s="406"/>
      <c r="AD16" s="459"/>
      <c r="AE16" s="421"/>
      <c r="AF16" s="463"/>
      <c r="AG16" s="459"/>
      <c r="AH16" s="503"/>
      <c r="AI16" s="340"/>
      <c r="AJ16" s="740"/>
      <c r="AK16" s="741"/>
      <c r="AL16" s="732"/>
      <c r="AM16" s="340">
        <f t="shared" si="4"/>
        <v>0</v>
      </c>
      <c r="AN16" s="340">
        <f t="shared" si="5"/>
        <v>0</v>
      </c>
      <c r="AO16" s="468"/>
      <c r="AP16" s="333">
        <f t="shared" si="6"/>
        <v>0</v>
      </c>
      <c r="AQ16" s="192">
        <v>7121.92</v>
      </c>
      <c r="AR16" s="194">
        <v>198.09523809523807</v>
      </c>
      <c r="AS16" s="140" t="s">
        <v>1627</v>
      </c>
      <c r="AT16" s="17" t="s">
        <v>1628</v>
      </c>
      <c r="AU16" s="38" t="s">
        <v>1629</v>
      </c>
    </row>
    <row r="17" spans="1:47" ht="281.25" x14ac:dyDescent="0.25">
      <c r="A17" s="8">
        <v>13</v>
      </c>
      <c r="B17" s="9"/>
      <c r="C17" s="96" t="s">
        <v>28</v>
      </c>
      <c r="D17" s="80" t="s">
        <v>23</v>
      </c>
      <c r="E17" s="24" t="s">
        <v>1420</v>
      </c>
      <c r="F17" s="9">
        <v>6510700000</v>
      </c>
      <c r="G17" s="9" t="s">
        <v>36</v>
      </c>
      <c r="H17" s="9" t="s">
        <v>25</v>
      </c>
      <c r="I17" s="13"/>
      <c r="J17" s="10" t="s">
        <v>26</v>
      </c>
      <c r="K17" s="13"/>
      <c r="L17" s="10"/>
      <c r="M17" s="20" t="s">
        <v>27</v>
      </c>
      <c r="N17" s="10"/>
      <c r="O17" s="10" t="s">
        <v>8</v>
      </c>
      <c r="P17" s="10">
        <v>1.72E-2</v>
      </c>
      <c r="Q17" s="10">
        <v>684.8</v>
      </c>
      <c r="R17" s="12">
        <v>117785.59999999999</v>
      </c>
      <c r="S17" s="10"/>
      <c r="T17" s="368"/>
      <c r="U17" s="332">
        <f t="shared" si="0"/>
        <v>5889.28</v>
      </c>
      <c r="V17" s="333">
        <f t="shared" si="1"/>
        <v>5889.28</v>
      </c>
      <c r="W17" s="333">
        <v>5</v>
      </c>
      <c r="X17" s="333">
        <f t="shared" si="2"/>
        <v>34.24</v>
      </c>
      <c r="Y17" s="334">
        <f t="shared" si="3"/>
        <v>490.77333333333331</v>
      </c>
      <c r="Z17" s="807"/>
      <c r="AA17" s="711"/>
      <c r="AB17" s="340"/>
      <c r="AC17" s="406"/>
      <c r="AD17" s="459"/>
      <c r="AE17" s="421"/>
      <c r="AF17" s="463"/>
      <c r="AG17" s="459"/>
      <c r="AH17" s="503"/>
      <c r="AI17" s="340"/>
      <c r="AJ17" s="740"/>
      <c r="AK17" s="741"/>
      <c r="AL17" s="732"/>
      <c r="AM17" s="340">
        <f t="shared" si="4"/>
        <v>0</v>
      </c>
      <c r="AN17" s="340">
        <f t="shared" si="5"/>
        <v>0</v>
      </c>
      <c r="AO17" s="468"/>
      <c r="AP17" s="333">
        <f t="shared" si="6"/>
        <v>0</v>
      </c>
      <c r="AQ17" s="192">
        <v>0</v>
      </c>
      <c r="AR17" s="194">
        <v>0</v>
      </c>
      <c r="AS17" s="140">
        <v>52698</v>
      </c>
      <c r="AT17" s="17" t="s">
        <v>1628</v>
      </c>
      <c r="AU17" s="38" t="s">
        <v>1629</v>
      </c>
    </row>
    <row r="18" spans="1:47" ht="281.25" x14ac:dyDescent="0.25">
      <c r="A18" s="8">
        <v>14</v>
      </c>
      <c r="B18" s="9"/>
      <c r="C18" s="96" t="s">
        <v>28</v>
      </c>
      <c r="D18" s="80" t="s">
        <v>23</v>
      </c>
      <c r="E18" s="24" t="s">
        <v>1420</v>
      </c>
      <c r="F18" s="9">
        <v>6510700000</v>
      </c>
      <c r="G18" s="9" t="s">
        <v>37</v>
      </c>
      <c r="H18" s="9" t="s">
        <v>25</v>
      </c>
      <c r="I18" s="13"/>
      <c r="J18" s="10" t="s">
        <v>26</v>
      </c>
      <c r="K18" s="13"/>
      <c r="L18" s="10"/>
      <c r="M18" s="20" t="s">
        <v>27</v>
      </c>
      <c r="N18" s="10"/>
      <c r="O18" s="10" t="s">
        <v>8</v>
      </c>
      <c r="P18" s="10">
        <v>1.5599999999999999E-2</v>
      </c>
      <c r="Q18" s="10">
        <v>684.8</v>
      </c>
      <c r="R18" s="12">
        <v>106828.79999999999</v>
      </c>
      <c r="S18" s="10"/>
      <c r="T18" s="368"/>
      <c r="U18" s="332">
        <f t="shared" si="0"/>
        <v>5341.44</v>
      </c>
      <c r="V18" s="333">
        <f t="shared" si="1"/>
        <v>5341.44</v>
      </c>
      <c r="W18" s="333">
        <v>5</v>
      </c>
      <c r="X18" s="333">
        <f t="shared" si="2"/>
        <v>34.239999999999995</v>
      </c>
      <c r="Y18" s="334">
        <f t="shared" si="3"/>
        <v>445.11999999999995</v>
      </c>
      <c r="Z18" s="807"/>
      <c r="AA18" s="711"/>
      <c r="AB18" s="340"/>
      <c r="AC18" s="406"/>
      <c r="AD18" s="459"/>
      <c r="AE18" s="421"/>
      <c r="AF18" s="463"/>
      <c r="AG18" s="459"/>
      <c r="AH18" s="503"/>
      <c r="AI18" s="340"/>
      <c r="AJ18" s="740"/>
      <c r="AK18" s="741"/>
      <c r="AL18" s="732"/>
      <c r="AM18" s="340">
        <f t="shared" si="4"/>
        <v>0</v>
      </c>
      <c r="AN18" s="340">
        <f t="shared" si="5"/>
        <v>0</v>
      </c>
      <c r="AO18" s="468"/>
      <c r="AP18" s="333">
        <f t="shared" si="6"/>
        <v>0</v>
      </c>
      <c r="AQ18" s="192">
        <v>0</v>
      </c>
      <c r="AR18" s="194">
        <v>0</v>
      </c>
      <c r="AS18" s="140">
        <v>52698</v>
      </c>
      <c r="AT18" s="17" t="s">
        <v>1628</v>
      </c>
      <c r="AU18" s="38" t="s">
        <v>1629</v>
      </c>
    </row>
    <row r="19" spans="1:47" ht="318.75" x14ac:dyDescent="0.25">
      <c r="A19" s="8">
        <v>15</v>
      </c>
      <c r="B19" s="9"/>
      <c r="C19" s="98" t="s">
        <v>28</v>
      </c>
      <c r="D19" s="80" t="s">
        <v>23</v>
      </c>
      <c r="E19" s="24" t="s">
        <v>1420</v>
      </c>
      <c r="F19" s="19">
        <v>6510700000</v>
      </c>
      <c r="G19" s="19" t="s">
        <v>38</v>
      </c>
      <c r="H19" s="19" t="s">
        <v>25</v>
      </c>
      <c r="I19" s="75"/>
      <c r="J19" s="17" t="s">
        <v>39</v>
      </c>
      <c r="K19" s="38"/>
      <c r="L19" s="17"/>
      <c r="M19" s="64" t="s">
        <v>27</v>
      </c>
      <c r="N19" s="17"/>
      <c r="O19" s="17" t="s">
        <v>8</v>
      </c>
      <c r="P19" s="25">
        <v>6.1999999999999998E-3</v>
      </c>
      <c r="Q19" s="14">
        <v>684.8</v>
      </c>
      <c r="R19" s="12">
        <v>42457.599999999999</v>
      </c>
      <c r="S19" s="12"/>
      <c r="T19" s="368"/>
      <c r="U19" s="332">
        <f t="shared" si="0"/>
        <v>2122.88</v>
      </c>
      <c r="V19" s="333">
        <f t="shared" si="1"/>
        <v>2122.88</v>
      </c>
      <c r="W19" s="333">
        <v>5</v>
      </c>
      <c r="X19" s="333">
        <f t="shared" si="2"/>
        <v>34.24</v>
      </c>
      <c r="Y19" s="334">
        <f t="shared" si="3"/>
        <v>176.90666666666667</v>
      </c>
      <c r="Z19" s="807"/>
      <c r="AA19" s="711"/>
      <c r="AB19" s="340"/>
      <c r="AC19" s="406"/>
      <c r="AD19" s="459"/>
      <c r="AE19" s="421"/>
      <c r="AF19" s="463"/>
      <c r="AG19" s="459"/>
      <c r="AH19" s="503"/>
      <c r="AI19" s="340"/>
      <c r="AJ19" s="740"/>
      <c r="AK19" s="741"/>
      <c r="AL19" s="732"/>
      <c r="AM19" s="340">
        <f t="shared" si="4"/>
        <v>0</v>
      </c>
      <c r="AN19" s="340">
        <f t="shared" si="5"/>
        <v>0</v>
      </c>
      <c r="AO19" s="468"/>
      <c r="AP19" s="333">
        <f t="shared" si="6"/>
        <v>0</v>
      </c>
      <c r="AQ19" s="192">
        <v>0</v>
      </c>
      <c r="AR19" s="194">
        <v>0</v>
      </c>
      <c r="AS19" s="443" t="s">
        <v>1627</v>
      </c>
      <c r="AT19" s="31" t="s">
        <v>1628</v>
      </c>
      <c r="AU19" s="38" t="s">
        <v>1629</v>
      </c>
    </row>
    <row r="20" spans="1:47" ht="318.75" x14ac:dyDescent="0.25">
      <c r="A20" s="8">
        <v>16</v>
      </c>
      <c r="B20" s="9"/>
      <c r="C20" s="96" t="s">
        <v>28</v>
      </c>
      <c r="D20" s="80" t="s">
        <v>23</v>
      </c>
      <c r="E20" s="10" t="s">
        <v>1420</v>
      </c>
      <c r="F20" s="19">
        <v>6510700000</v>
      </c>
      <c r="G20" s="19" t="s">
        <v>40</v>
      </c>
      <c r="H20" s="19" t="s">
        <v>25</v>
      </c>
      <c r="I20" s="75"/>
      <c r="J20" s="10" t="s">
        <v>41</v>
      </c>
      <c r="K20" s="13"/>
      <c r="L20" s="10"/>
      <c r="M20" s="20" t="s">
        <v>27</v>
      </c>
      <c r="N20" s="10"/>
      <c r="O20" s="10" t="s">
        <v>8</v>
      </c>
      <c r="P20" s="27">
        <v>2.5100000000000001E-2</v>
      </c>
      <c r="Q20" s="14">
        <v>684.8</v>
      </c>
      <c r="R20" s="12">
        <v>171884.79999999999</v>
      </c>
      <c r="S20" s="12"/>
      <c r="T20" s="368"/>
      <c r="U20" s="332">
        <f t="shared" si="0"/>
        <v>8594.24</v>
      </c>
      <c r="V20" s="333">
        <f t="shared" si="1"/>
        <v>8594.24</v>
      </c>
      <c r="W20" s="333">
        <v>5</v>
      </c>
      <c r="X20" s="333">
        <f t="shared" si="2"/>
        <v>34.24</v>
      </c>
      <c r="Y20" s="334">
        <f t="shared" si="3"/>
        <v>716.18666666666661</v>
      </c>
      <c r="Z20" s="807"/>
      <c r="AA20" s="711"/>
      <c r="AB20" s="340"/>
      <c r="AC20" s="406"/>
      <c r="AD20" s="459"/>
      <c r="AE20" s="421"/>
      <c r="AF20" s="463"/>
      <c r="AG20" s="459"/>
      <c r="AH20" s="503"/>
      <c r="AI20" s="340"/>
      <c r="AJ20" s="740"/>
      <c r="AK20" s="741"/>
      <c r="AL20" s="732"/>
      <c r="AM20" s="340">
        <f t="shared" si="4"/>
        <v>0</v>
      </c>
      <c r="AN20" s="340">
        <f t="shared" si="5"/>
        <v>0</v>
      </c>
      <c r="AO20" s="468"/>
      <c r="AP20" s="333">
        <f t="shared" si="6"/>
        <v>0</v>
      </c>
      <c r="AQ20" s="192">
        <v>0</v>
      </c>
      <c r="AR20" s="194">
        <v>0</v>
      </c>
      <c r="AS20" s="140">
        <v>52698</v>
      </c>
      <c r="AT20" s="11" t="s">
        <v>1628</v>
      </c>
      <c r="AU20" s="13" t="s">
        <v>1629</v>
      </c>
    </row>
    <row r="21" spans="1:47" ht="409.5" x14ac:dyDescent="0.25">
      <c r="A21" s="8">
        <v>17</v>
      </c>
      <c r="B21" s="8"/>
      <c r="C21" s="97" t="s">
        <v>28</v>
      </c>
      <c r="D21" s="105" t="s">
        <v>23</v>
      </c>
      <c r="E21" s="14" t="s">
        <v>1420</v>
      </c>
      <c r="F21" s="16">
        <v>6510700000</v>
      </c>
      <c r="G21" s="16" t="s">
        <v>30</v>
      </c>
      <c r="H21" s="16" t="s">
        <v>25</v>
      </c>
      <c r="I21" s="81"/>
      <c r="J21" s="14" t="s">
        <v>42</v>
      </c>
      <c r="K21" s="62"/>
      <c r="L21" s="14"/>
      <c r="M21" s="65" t="s">
        <v>27</v>
      </c>
      <c r="N21" s="14"/>
      <c r="O21" s="14" t="s">
        <v>8</v>
      </c>
      <c r="P21" s="90">
        <v>0.1799</v>
      </c>
      <c r="Q21" s="14">
        <v>684.8</v>
      </c>
      <c r="R21" s="68">
        <v>1231955.2</v>
      </c>
      <c r="S21" s="8"/>
      <c r="T21" s="367"/>
      <c r="U21" s="336">
        <f t="shared" si="0"/>
        <v>61597.760000000002</v>
      </c>
      <c r="V21" s="337">
        <f t="shared" si="1"/>
        <v>61597.760000000002</v>
      </c>
      <c r="W21" s="337">
        <v>5</v>
      </c>
      <c r="X21" s="337">
        <f t="shared" si="2"/>
        <v>34.24</v>
      </c>
      <c r="Y21" s="338">
        <f t="shared" si="3"/>
        <v>5133.1466666666665</v>
      </c>
      <c r="Z21" s="807"/>
      <c r="AA21" s="743"/>
      <c r="AB21" s="396"/>
      <c r="AC21" s="464"/>
      <c r="AD21" s="458"/>
      <c r="AE21" s="430"/>
      <c r="AF21" s="467"/>
      <c r="AG21" s="458"/>
      <c r="AH21" s="745"/>
      <c r="AI21" s="396"/>
      <c r="AJ21" s="746"/>
      <c r="AK21" s="747"/>
      <c r="AL21" s="748"/>
      <c r="AM21" s="340">
        <f t="shared" si="4"/>
        <v>0</v>
      </c>
      <c r="AN21" s="340">
        <f t="shared" si="5"/>
        <v>0</v>
      </c>
      <c r="AO21" s="468"/>
      <c r="AP21" s="337">
        <f t="shared" si="6"/>
        <v>0</v>
      </c>
      <c r="AQ21" s="392">
        <v>49554.9</v>
      </c>
      <c r="AR21" s="684">
        <v>80.449191658917471</v>
      </c>
      <c r="AS21" s="308">
        <v>52698</v>
      </c>
      <c r="AT21" s="91" t="s">
        <v>1628</v>
      </c>
      <c r="AU21" s="62" t="s">
        <v>1629</v>
      </c>
    </row>
    <row r="22" spans="1:47" ht="21" x14ac:dyDescent="0.25">
      <c r="A22" s="1167"/>
      <c r="B22" s="1167"/>
      <c r="C22" s="1278"/>
      <c r="D22" s="1169"/>
      <c r="E22" s="1170"/>
      <c r="F22" s="1171"/>
      <c r="G22" s="1171"/>
      <c r="H22" s="1171"/>
      <c r="I22" s="1172"/>
      <c r="J22" s="1170"/>
      <c r="K22" s="1188"/>
      <c r="L22" s="1170"/>
      <c r="M22" s="1279"/>
      <c r="N22" s="1170"/>
      <c r="O22" s="1170"/>
      <c r="P22" s="1280"/>
      <c r="Q22" s="1170"/>
      <c r="R22" s="1177"/>
      <c r="S22" s="1167"/>
      <c r="T22" s="1178"/>
      <c r="U22" s="1164"/>
      <c r="V22" s="1281">
        <f>V9+V10+V11+V12+V13+V14+V15+V16+V17+V18+V19+V20+V21</f>
        <v>1792096.9585499999</v>
      </c>
      <c r="W22" s="1281"/>
      <c r="X22" s="1281"/>
      <c r="Y22" s="1281">
        <f t="shared" si="3"/>
        <v>149341.41321249999</v>
      </c>
      <c r="Z22" s="1237"/>
      <c r="AA22" s="1183"/>
      <c r="AB22" s="1183"/>
      <c r="AC22" s="1179"/>
      <c r="AD22" s="1180"/>
      <c r="AE22" s="1212"/>
      <c r="AF22" s="1215"/>
      <c r="AG22" s="1180"/>
      <c r="AH22" s="1282"/>
      <c r="AI22" s="1183"/>
      <c r="AJ22" s="1181"/>
      <c r="AK22" s="1166"/>
      <c r="AL22" s="1283"/>
      <c r="AM22" s="1238">
        <f>AM9+AM10+AM11+AM12+AM13+AM14+AM15+AM16+AM17+AM18+AM19+AM20+AM21</f>
        <v>299109.8</v>
      </c>
      <c r="AN22" s="1238">
        <f>AN9+AN10+AN11+AN12+AN13+AN14+AN15+AN16+AN17+AN18+AN19+AN20+AN21</f>
        <v>299109.8</v>
      </c>
      <c r="AO22" s="1239">
        <f>(Y22*3)-AM22</f>
        <v>148914.43963749998</v>
      </c>
      <c r="AP22" s="1281">
        <f t="shared" ref="AP22" si="7">AM22*100/V22</f>
        <v>16.690492027954345</v>
      </c>
      <c r="AQ22" s="1184"/>
      <c r="AR22" s="1185"/>
      <c r="AS22" s="1285"/>
      <c r="AT22" s="1284"/>
      <c r="AU22" s="1188"/>
    </row>
    <row r="23" spans="1:47" ht="187.5" x14ac:dyDescent="0.25">
      <c r="A23" s="8">
        <v>18</v>
      </c>
      <c r="B23" s="9">
        <v>4</v>
      </c>
      <c r="C23" s="119" t="s">
        <v>1983</v>
      </c>
      <c r="D23" s="176" t="s">
        <v>43</v>
      </c>
      <c r="E23" s="109" t="s">
        <v>1421</v>
      </c>
      <c r="F23" s="110">
        <v>6510700000</v>
      </c>
      <c r="G23" s="110" t="s">
        <v>44</v>
      </c>
      <c r="H23" s="110" t="s">
        <v>2076</v>
      </c>
      <c r="I23" s="111" t="s">
        <v>2077</v>
      </c>
      <c r="J23" s="109" t="s">
        <v>2078</v>
      </c>
      <c r="K23" s="113" t="s">
        <v>2079</v>
      </c>
      <c r="L23" s="107" t="s">
        <v>2081</v>
      </c>
      <c r="M23" s="112" t="s">
        <v>2080</v>
      </c>
      <c r="N23" s="109"/>
      <c r="O23" s="109" t="s">
        <v>8</v>
      </c>
      <c r="P23" s="114">
        <v>8.0000000000000002E-3</v>
      </c>
      <c r="Q23" s="107">
        <f>R23/P23/10000</f>
        <v>826.5200000000001</v>
      </c>
      <c r="R23" s="107">
        <v>66121.600000000006</v>
      </c>
      <c r="S23" s="107" t="s">
        <v>1984</v>
      </c>
      <c r="T23" s="369"/>
      <c r="U23" s="332">
        <f t="shared" si="0"/>
        <v>7273.3760000000011</v>
      </c>
      <c r="V23" s="333">
        <f t="shared" si="1"/>
        <v>7273.3760000000011</v>
      </c>
      <c r="W23" s="333">
        <v>11</v>
      </c>
      <c r="X23" s="333">
        <f t="shared" si="2"/>
        <v>90.917200000000008</v>
      </c>
      <c r="Y23" s="334">
        <f t="shared" si="3"/>
        <v>606.11466666666672</v>
      </c>
      <c r="Z23" s="807"/>
      <c r="AA23" s="711"/>
      <c r="AB23" s="340"/>
      <c r="AC23" s="406"/>
      <c r="AD23" s="459"/>
      <c r="AE23" s="421"/>
      <c r="AF23" s="463"/>
      <c r="AG23" s="459"/>
      <c r="AH23" s="503"/>
      <c r="AI23" s="340"/>
      <c r="AJ23" s="740"/>
      <c r="AK23" s="741"/>
      <c r="AL23" s="732"/>
      <c r="AM23" s="340">
        <f t="shared" si="4"/>
        <v>0</v>
      </c>
      <c r="AN23" s="340">
        <f t="shared" si="5"/>
        <v>0</v>
      </c>
      <c r="AO23" s="468"/>
      <c r="AP23" s="333">
        <f>AM23*100/V23</f>
        <v>0</v>
      </c>
      <c r="AQ23" s="192">
        <v>10653.56</v>
      </c>
      <c r="AR23" s="194">
        <v>146.47338457409597</v>
      </c>
      <c r="AS23" s="166" t="s">
        <v>2905</v>
      </c>
      <c r="AT23" s="17" t="s">
        <v>1630</v>
      </c>
      <c r="AU23" s="13" t="s">
        <v>1634</v>
      </c>
    </row>
    <row r="24" spans="1:47" ht="262.5" x14ac:dyDescent="0.25">
      <c r="A24" s="8">
        <v>19</v>
      </c>
      <c r="B24" s="9"/>
      <c r="C24" s="119" t="s">
        <v>1983</v>
      </c>
      <c r="D24" s="176" t="s">
        <v>43</v>
      </c>
      <c r="E24" s="109" t="s">
        <v>1421</v>
      </c>
      <c r="F24" s="110">
        <v>6510700000</v>
      </c>
      <c r="G24" s="110" t="s">
        <v>3272</v>
      </c>
      <c r="H24" s="110" t="s">
        <v>3273</v>
      </c>
      <c r="I24" s="111" t="s">
        <v>3274</v>
      </c>
      <c r="J24" s="130" t="s">
        <v>3275</v>
      </c>
      <c r="K24" s="127" t="s">
        <v>3276</v>
      </c>
      <c r="L24" s="131" t="s">
        <v>3277</v>
      </c>
      <c r="M24" s="129">
        <v>43805</v>
      </c>
      <c r="N24" s="130"/>
      <c r="O24" s="109" t="s">
        <v>8</v>
      </c>
      <c r="P24" s="114">
        <v>0.22109999999999999</v>
      </c>
      <c r="Q24" s="107">
        <f>R24/2211</f>
        <v>2258.81</v>
      </c>
      <c r="R24" s="107">
        <v>4994228.91</v>
      </c>
      <c r="S24" s="107" t="s">
        <v>3278</v>
      </c>
      <c r="T24" s="369"/>
      <c r="U24" s="332">
        <v>149826.87</v>
      </c>
      <c r="V24" s="333">
        <f t="shared" si="1"/>
        <v>149826.87</v>
      </c>
      <c r="W24" s="333">
        <v>3</v>
      </c>
      <c r="X24" s="333">
        <f>U24/(P24*10000)</f>
        <v>67.764301221166889</v>
      </c>
      <c r="Y24" s="334">
        <f>V24/12</f>
        <v>12485.5725</v>
      </c>
      <c r="Z24" s="807"/>
      <c r="AA24" s="711">
        <v>13245</v>
      </c>
      <c r="AB24" s="340">
        <v>13235</v>
      </c>
      <c r="AC24" s="406"/>
      <c r="AD24" s="459"/>
      <c r="AE24" s="421"/>
      <c r="AF24" s="463"/>
      <c r="AG24" s="459"/>
      <c r="AH24" s="502"/>
      <c r="AI24" s="359"/>
      <c r="AJ24" s="751"/>
      <c r="AK24" s="529"/>
      <c r="AL24" s="752"/>
      <c r="AM24" s="340">
        <f t="shared" si="4"/>
        <v>26480</v>
      </c>
      <c r="AN24" s="340">
        <f t="shared" si="5"/>
        <v>26480</v>
      </c>
      <c r="AO24" s="468"/>
      <c r="AP24" s="345">
        <f>AM24*100/V24</f>
        <v>17.673732355217727</v>
      </c>
      <c r="AQ24" s="521">
        <v>7121.92</v>
      </c>
      <c r="AR24" s="685">
        <v>68.010661043930483</v>
      </c>
      <c r="AS24" s="447">
        <v>47443</v>
      </c>
      <c r="AT24" s="120" t="s">
        <v>3279</v>
      </c>
      <c r="AU24" s="113" t="s">
        <v>1679</v>
      </c>
    </row>
    <row r="25" spans="1:47" ht="168.75" x14ac:dyDescent="0.25">
      <c r="A25" s="1119"/>
      <c r="B25" s="1119"/>
      <c r="C25" s="1129" t="s">
        <v>1983</v>
      </c>
      <c r="D25" s="1130"/>
      <c r="E25" s="1131"/>
      <c r="F25" s="1132"/>
      <c r="G25" s="1132"/>
      <c r="H25" s="1132"/>
      <c r="I25" s="1133"/>
      <c r="J25" s="1144"/>
      <c r="K25" s="1145"/>
      <c r="L25" s="1146"/>
      <c r="M25" s="1147"/>
      <c r="N25" s="1144"/>
      <c r="O25" s="1131"/>
      <c r="P25" s="1135"/>
      <c r="Q25" s="163"/>
      <c r="R25" s="163"/>
      <c r="S25" s="163"/>
      <c r="T25" s="1125"/>
      <c r="U25" s="1161"/>
      <c r="V25" s="1267">
        <f>V23+V24</f>
        <v>157100.24599999998</v>
      </c>
      <c r="W25" s="1267"/>
      <c r="X25" s="1267"/>
      <c r="Y25" s="1267">
        <f>Y23+Y24</f>
        <v>13091.687166666667</v>
      </c>
      <c r="Z25" s="1268"/>
      <c r="AA25" s="1269"/>
      <c r="AB25" s="1269"/>
      <c r="AC25" s="1270"/>
      <c r="AD25" s="1271"/>
      <c r="AE25" s="1272"/>
      <c r="AF25" s="1273"/>
      <c r="AG25" s="1271"/>
      <c r="AH25" s="1274"/>
      <c r="AI25" s="1269"/>
      <c r="AJ25" s="1275"/>
      <c r="AK25" s="1163"/>
      <c r="AL25" s="1276"/>
      <c r="AM25" s="1269">
        <f>AM23+AM24</f>
        <v>26480</v>
      </c>
      <c r="AN25" s="1269">
        <f>AN23+AN24</f>
        <v>26480</v>
      </c>
      <c r="AO25" s="1270">
        <f>(Y25*3)-AM25</f>
        <v>12795.061499999996</v>
      </c>
      <c r="AP25" s="1267">
        <f t="shared" ref="AP25" si="8">AM25*100/V25</f>
        <v>16.855479653418239</v>
      </c>
      <c r="AQ25" s="1140"/>
      <c r="AR25" s="1141"/>
      <c r="AS25" s="1142"/>
      <c r="AT25" s="1148"/>
      <c r="AU25" s="1134"/>
    </row>
    <row r="26" spans="1:47" ht="187.5" x14ac:dyDescent="0.25">
      <c r="A26" s="8">
        <v>20</v>
      </c>
      <c r="B26" s="9">
        <v>5</v>
      </c>
      <c r="C26" s="119" t="s">
        <v>46</v>
      </c>
      <c r="D26" s="109" t="s">
        <v>47</v>
      </c>
      <c r="E26" s="109" t="s">
        <v>1422</v>
      </c>
      <c r="F26" s="110">
        <v>6510700000</v>
      </c>
      <c r="G26" s="110" t="s">
        <v>48</v>
      </c>
      <c r="H26" s="110" t="s">
        <v>49</v>
      </c>
      <c r="I26" s="111" t="s">
        <v>50</v>
      </c>
      <c r="J26" s="130" t="s">
        <v>51</v>
      </c>
      <c r="K26" s="127" t="s">
        <v>1423</v>
      </c>
      <c r="L26" s="130" t="s">
        <v>52</v>
      </c>
      <c r="M26" s="129" t="s">
        <v>1424</v>
      </c>
      <c r="N26" s="130"/>
      <c r="O26" s="109" t="s">
        <v>8</v>
      </c>
      <c r="P26" s="114">
        <v>0.96730000000000005</v>
      </c>
      <c r="Q26" s="107">
        <v>208.16</v>
      </c>
      <c r="R26" s="107">
        <v>2013531.68</v>
      </c>
      <c r="S26" s="107" t="s">
        <v>53</v>
      </c>
      <c r="T26" s="369"/>
      <c r="U26" s="332">
        <f t="shared" ref="U26:U43" si="9">R26*W26%</f>
        <v>80541.267200000002</v>
      </c>
      <c r="V26" s="333">
        <f t="shared" si="1"/>
        <v>80541.267200000002</v>
      </c>
      <c r="W26" s="333">
        <v>4</v>
      </c>
      <c r="X26" s="333">
        <f t="shared" ref="X26:X36" si="10">V26/(P26*10000)</f>
        <v>8.3263999999999996</v>
      </c>
      <c r="Y26" s="334">
        <f t="shared" ref="Y26:Y98" si="11">V26/12</f>
        <v>6711.7722666666668</v>
      </c>
      <c r="Z26" s="807"/>
      <c r="AA26" s="753">
        <v>6711.7722666666668</v>
      </c>
      <c r="AB26" s="340"/>
      <c r="AC26" s="406"/>
      <c r="AD26" s="459">
        <v>7965.82</v>
      </c>
      <c r="AE26" s="421"/>
      <c r="AF26" s="463"/>
      <c r="AG26" s="459"/>
      <c r="AH26" s="503"/>
      <c r="AI26" s="340"/>
      <c r="AJ26" s="740"/>
      <c r="AK26" s="741"/>
      <c r="AL26" s="732"/>
      <c r="AM26" s="340">
        <f t="shared" si="4"/>
        <v>14677.592266666667</v>
      </c>
      <c r="AN26" s="340">
        <f t="shared" si="5"/>
        <v>14677.592266666667</v>
      </c>
      <c r="AO26" s="468"/>
      <c r="AP26" s="333">
        <f t="shared" ref="AP26:AP57" si="12">AM26*100/V26</f>
        <v>18.223691750738514</v>
      </c>
      <c r="AQ26" s="521">
        <v>73829.47000000003</v>
      </c>
      <c r="AR26" s="194">
        <v>91.666635709451597</v>
      </c>
      <c r="AS26" s="164">
        <v>44706</v>
      </c>
      <c r="AT26" s="125" t="s">
        <v>1631</v>
      </c>
      <c r="AU26" s="113" t="s">
        <v>1632</v>
      </c>
    </row>
    <row r="27" spans="1:47" ht="225" x14ac:dyDescent="0.25">
      <c r="A27" s="8">
        <v>21</v>
      </c>
      <c r="B27" s="9"/>
      <c r="C27" s="132" t="s">
        <v>54</v>
      </c>
      <c r="D27" s="109" t="s">
        <v>47</v>
      </c>
      <c r="E27" s="109" t="s">
        <v>1422</v>
      </c>
      <c r="F27" s="110">
        <v>6510700000</v>
      </c>
      <c r="G27" s="110" t="s">
        <v>55</v>
      </c>
      <c r="H27" s="110" t="s">
        <v>56</v>
      </c>
      <c r="I27" s="111"/>
      <c r="J27" s="109" t="s">
        <v>57</v>
      </c>
      <c r="K27" s="113"/>
      <c r="L27" s="109" t="s">
        <v>58</v>
      </c>
      <c r="M27" s="112" t="s">
        <v>59</v>
      </c>
      <c r="N27" s="109" t="s">
        <v>2258</v>
      </c>
      <c r="O27" s="133" t="s">
        <v>8</v>
      </c>
      <c r="P27" s="134">
        <v>1.7600000000000001E-2</v>
      </c>
      <c r="Q27" s="107">
        <v>931.19</v>
      </c>
      <c r="R27" s="107">
        <v>163889.44</v>
      </c>
      <c r="S27" s="107" t="s">
        <v>2259</v>
      </c>
      <c r="T27" s="369"/>
      <c r="U27" s="332">
        <f t="shared" si="9"/>
        <v>6555.5776000000005</v>
      </c>
      <c r="V27" s="333">
        <f t="shared" si="1"/>
        <v>6555.5776000000005</v>
      </c>
      <c r="W27" s="333">
        <v>4</v>
      </c>
      <c r="X27" s="333">
        <f t="shared" si="10"/>
        <v>37.247600000000006</v>
      </c>
      <c r="Y27" s="334">
        <f t="shared" si="11"/>
        <v>546.29813333333334</v>
      </c>
      <c r="Z27" s="807"/>
      <c r="AA27" s="711">
        <v>546.29813333333334</v>
      </c>
      <c r="AC27" s="406"/>
      <c r="AD27" s="459"/>
      <c r="AE27" s="421"/>
      <c r="AF27" s="463"/>
      <c r="AG27" s="459"/>
      <c r="AH27" s="503"/>
      <c r="AI27" s="340"/>
      <c r="AJ27" s="740"/>
      <c r="AK27" s="741"/>
      <c r="AL27" s="732"/>
      <c r="AM27" s="340">
        <f t="shared" si="4"/>
        <v>546.29813333333334</v>
      </c>
      <c r="AN27" s="340">
        <f t="shared" si="5"/>
        <v>546.29813333333334</v>
      </c>
      <c r="AO27" s="468"/>
      <c r="AP27" s="333">
        <f t="shared" si="12"/>
        <v>8.3333333333333321</v>
      </c>
      <c r="AQ27" s="521">
        <v>6009.3000000000011</v>
      </c>
      <c r="AR27" s="194">
        <v>91.666979885952401</v>
      </c>
      <c r="AS27" s="444" t="s">
        <v>2544</v>
      </c>
      <c r="AT27" s="135" t="s">
        <v>1633</v>
      </c>
      <c r="AU27" s="113" t="s">
        <v>1634</v>
      </c>
    </row>
    <row r="28" spans="1:47" ht="150" x14ac:dyDescent="0.25">
      <c r="A28" s="8">
        <v>22</v>
      </c>
      <c r="B28" s="9"/>
      <c r="C28" s="119" t="s">
        <v>54</v>
      </c>
      <c r="D28" s="109" t="s">
        <v>47</v>
      </c>
      <c r="E28" s="109" t="s">
        <v>1422</v>
      </c>
      <c r="F28" s="110">
        <v>6510700000</v>
      </c>
      <c r="G28" s="110" t="s">
        <v>60</v>
      </c>
      <c r="H28" s="110" t="s">
        <v>2260</v>
      </c>
      <c r="I28" s="111" t="s">
        <v>61</v>
      </c>
      <c r="J28" s="109" t="s">
        <v>62</v>
      </c>
      <c r="K28" s="113" t="s">
        <v>1425</v>
      </c>
      <c r="L28" s="109" t="s">
        <v>63</v>
      </c>
      <c r="M28" s="112" t="s">
        <v>64</v>
      </c>
      <c r="N28" s="109" t="s">
        <v>2261</v>
      </c>
      <c r="O28" s="109" t="s">
        <v>8</v>
      </c>
      <c r="P28" s="114">
        <v>1.61E-2</v>
      </c>
      <c r="Q28" s="107">
        <v>1318.74</v>
      </c>
      <c r="R28" s="107">
        <v>212317.14</v>
      </c>
      <c r="S28" s="107" t="s">
        <v>2262</v>
      </c>
      <c r="T28" s="369"/>
      <c r="U28" s="332">
        <f t="shared" si="9"/>
        <v>8492.6856000000007</v>
      </c>
      <c r="V28" s="333">
        <f t="shared" si="1"/>
        <v>8492.6856000000007</v>
      </c>
      <c r="W28" s="333">
        <v>4</v>
      </c>
      <c r="X28" s="333">
        <f t="shared" si="10"/>
        <v>52.749600000000001</v>
      </c>
      <c r="Y28" s="334">
        <f t="shared" si="11"/>
        <v>707.7238000000001</v>
      </c>
      <c r="Z28" s="807"/>
      <c r="AA28" s="711">
        <v>707.7238000000001</v>
      </c>
      <c r="AB28" s="340">
        <v>7965.82</v>
      </c>
      <c r="AC28" s="406"/>
      <c r="AD28" s="459"/>
      <c r="AE28" s="421"/>
      <c r="AF28" s="463"/>
      <c r="AG28" s="459"/>
      <c r="AH28" s="503"/>
      <c r="AI28" s="340"/>
      <c r="AJ28" s="740"/>
      <c r="AK28" s="741"/>
      <c r="AL28" s="732"/>
      <c r="AM28" s="340">
        <f t="shared" si="4"/>
        <v>8673.5437999999995</v>
      </c>
      <c r="AN28" s="340">
        <f t="shared" si="5"/>
        <v>8673.5437999999995</v>
      </c>
      <c r="AO28" s="468"/>
      <c r="AP28" s="333">
        <f t="shared" si="12"/>
        <v>102.12957606719831</v>
      </c>
      <c r="AQ28" s="521">
        <v>7785.22</v>
      </c>
      <c r="AR28" s="194">
        <v>91.669706929925667</v>
      </c>
      <c r="AS28" s="444">
        <v>43868</v>
      </c>
      <c r="AT28" s="128" t="s">
        <v>1633</v>
      </c>
      <c r="AU28" s="113" t="s">
        <v>1634</v>
      </c>
    </row>
    <row r="29" spans="1:47" ht="18.75" x14ac:dyDescent="0.25">
      <c r="A29" s="1119"/>
      <c r="B29" s="1119"/>
      <c r="C29" s="1129"/>
      <c r="D29" s="1131"/>
      <c r="E29" s="1131"/>
      <c r="F29" s="1132"/>
      <c r="G29" s="1132"/>
      <c r="H29" s="1132"/>
      <c r="I29" s="1133"/>
      <c r="J29" s="1131"/>
      <c r="K29" s="1134"/>
      <c r="L29" s="1131"/>
      <c r="M29" s="630"/>
      <c r="N29" s="1131"/>
      <c r="O29" s="1131"/>
      <c r="P29" s="1135"/>
      <c r="Q29" s="163"/>
      <c r="R29" s="163"/>
      <c r="S29" s="163"/>
      <c r="T29" s="1125"/>
      <c r="U29" s="1161"/>
      <c r="V29" s="1267">
        <f>V26+V27+V28</f>
        <v>95589.530400000003</v>
      </c>
      <c r="W29" s="1267"/>
      <c r="X29" s="1267"/>
      <c r="Y29" s="1267">
        <f t="shared" si="11"/>
        <v>7965.7942000000003</v>
      </c>
      <c r="Z29" s="1268"/>
      <c r="AA29" s="1269"/>
      <c r="AB29" s="1269"/>
      <c r="AC29" s="1270"/>
      <c r="AD29" s="1271"/>
      <c r="AE29" s="1272"/>
      <c r="AF29" s="1273"/>
      <c r="AG29" s="1271"/>
      <c r="AH29" s="1274"/>
      <c r="AI29" s="1269"/>
      <c r="AJ29" s="1275"/>
      <c r="AK29" s="1163"/>
      <c r="AL29" s="1276"/>
      <c r="AM29" s="1269">
        <f>AM26+AM27+AM28</f>
        <v>23897.4342</v>
      </c>
      <c r="AN29" s="1269">
        <f>AN26+AN27+AN28</f>
        <v>23897.4342</v>
      </c>
      <c r="AO29" s="1163">
        <f>(Y29*3)-AM29</f>
        <v>-5.1599999998870771E-2</v>
      </c>
      <c r="AP29" s="1277">
        <f t="shared" si="12"/>
        <v>25.000053980807085</v>
      </c>
      <c r="AQ29" s="1140"/>
      <c r="AR29" s="1141"/>
      <c r="AS29" s="1149"/>
      <c r="AT29" s="1143"/>
      <c r="AU29" s="1134"/>
    </row>
    <row r="30" spans="1:47" ht="300" x14ac:dyDescent="0.25">
      <c r="A30" s="8">
        <v>23</v>
      </c>
      <c r="B30" s="9">
        <v>6</v>
      </c>
      <c r="C30" s="96" t="s">
        <v>66</v>
      </c>
      <c r="D30" s="10" t="s">
        <v>67</v>
      </c>
      <c r="E30" s="9" t="s">
        <v>1426</v>
      </c>
      <c r="F30" s="9">
        <v>6510700000</v>
      </c>
      <c r="G30" s="9" t="s">
        <v>68</v>
      </c>
      <c r="H30" s="18" t="s">
        <v>69</v>
      </c>
      <c r="I30" s="95"/>
      <c r="J30" s="13" t="s">
        <v>2661</v>
      </c>
      <c r="K30" s="13"/>
      <c r="L30" s="13"/>
      <c r="M30" s="20" t="s">
        <v>70</v>
      </c>
      <c r="N30" s="13"/>
      <c r="O30" s="10" t="s">
        <v>8</v>
      </c>
      <c r="P30" s="27">
        <v>0.88029999999999997</v>
      </c>
      <c r="Q30" s="12">
        <v>182.11</v>
      </c>
      <c r="R30" s="12">
        <v>1603114.33</v>
      </c>
      <c r="S30" s="12"/>
      <c r="T30" s="368"/>
      <c r="U30" s="332">
        <f t="shared" si="9"/>
        <v>144280.28969999999</v>
      </c>
      <c r="V30" s="333">
        <f t="shared" si="1"/>
        <v>144280.28969999999</v>
      </c>
      <c r="W30" s="333">
        <v>9</v>
      </c>
      <c r="X30" s="333">
        <f t="shared" si="10"/>
        <v>16.389900000000001</v>
      </c>
      <c r="Y30" s="334">
        <f t="shared" si="11"/>
        <v>12023.357474999999</v>
      </c>
      <c r="Z30" s="807"/>
      <c r="AA30" s="711"/>
      <c r="AB30" s="340"/>
      <c r="AC30" s="406"/>
      <c r="AD30" s="459"/>
      <c r="AE30" s="421"/>
      <c r="AF30" s="463"/>
      <c r="AG30" s="459"/>
      <c r="AH30" s="503"/>
      <c r="AI30" s="340"/>
      <c r="AJ30" s="740"/>
      <c r="AK30" s="741"/>
      <c r="AL30" s="732"/>
      <c r="AM30" s="340">
        <f t="shared" si="4"/>
        <v>0</v>
      </c>
      <c r="AN30" s="340">
        <f t="shared" si="5"/>
        <v>0</v>
      </c>
      <c r="AO30" s="468"/>
      <c r="AP30" s="333">
        <f t="shared" si="12"/>
        <v>0</v>
      </c>
      <c r="AQ30" s="192">
        <v>0</v>
      </c>
      <c r="AR30" s="194">
        <v>0</v>
      </c>
      <c r="AS30" s="140" t="s">
        <v>2906</v>
      </c>
      <c r="AT30" s="11" t="s">
        <v>1635</v>
      </c>
      <c r="AU30" s="13" t="s">
        <v>1626</v>
      </c>
    </row>
    <row r="31" spans="1:47" ht="331.5" x14ac:dyDescent="0.25">
      <c r="A31" s="8">
        <v>24</v>
      </c>
      <c r="B31" s="151"/>
      <c r="C31" s="149" t="s">
        <v>71</v>
      </c>
      <c r="D31" s="150" t="s">
        <v>67</v>
      </c>
      <c r="E31" s="151" t="s">
        <v>1426</v>
      </c>
      <c r="F31" s="151">
        <v>6510700000</v>
      </c>
      <c r="G31" s="151" t="s">
        <v>72</v>
      </c>
      <c r="H31" s="152" t="s">
        <v>69</v>
      </c>
      <c r="I31" s="153"/>
      <c r="J31" s="154" t="s">
        <v>2662</v>
      </c>
      <c r="K31" s="154"/>
      <c r="L31" s="154"/>
      <c r="M31" s="317">
        <v>41513</v>
      </c>
      <c r="N31" s="154"/>
      <c r="O31" s="150" t="s">
        <v>8</v>
      </c>
      <c r="P31" s="155">
        <v>0.98340000000000005</v>
      </c>
      <c r="Q31" s="156">
        <v>182.11</v>
      </c>
      <c r="R31" s="156">
        <v>1790869.7400000002</v>
      </c>
      <c r="S31" s="157"/>
      <c r="T31" s="370"/>
      <c r="U31" s="332">
        <f t="shared" si="9"/>
        <v>161178.27660000001</v>
      </c>
      <c r="V31" s="333">
        <f t="shared" si="1"/>
        <v>161178.27660000001</v>
      </c>
      <c r="W31" s="333">
        <v>9</v>
      </c>
      <c r="X31" s="333">
        <f t="shared" si="10"/>
        <v>16.389900000000001</v>
      </c>
      <c r="Y31" s="334">
        <f t="shared" si="11"/>
        <v>13431.523050000002</v>
      </c>
      <c r="Z31" s="807"/>
      <c r="AA31" s="711"/>
      <c r="AB31" s="340"/>
      <c r="AC31" s="406"/>
      <c r="AD31" s="459"/>
      <c r="AE31" s="421"/>
      <c r="AF31" s="463"/>
      <c r="AG31" s="459"/>
      <c r="AH31" s="503"/>
      <c r="AI31" s="340"/>
      <c r="AJ31" s="740"/>
      <c r="AK31" s="741"/>
      <c r="AL31" s="732"/>
      <c r="AM31" s="340">
        <f t="shared" si="4"/>
        <v>0</v>
      </c>
      <c r="AN31" s="340">
        <f t="shared" si="5"/>
        <v>0</v>
      </c>
      <c r="AO31" s="468"/>
      <c r="AP31" s="333">
        <f t="shared" si="12"/>
        <v>0</v>
      </c>
      <c r="AQ31" s="686">
        <v>0</v>
      </c>
      <c r="AR31" s="194">
        <v>0</v>
      </c>
      <c r="AS31" s="445">
        <v>45133</v>
      </c>
      <c r="AT31" s="158" t="s">
        <v>1635</v>
      </c>
      <c r="AU31" s="154" t="s">
        <v>1626</v>
      </c>
    </row>
    <row r="32" spans="1:47" ht="21" x14ac:dyDescent="0.25">
      <c r="A32" s="1167"/>
      <c r="B32" s="1251"/>
      <c r="C32" s="1252"/>
      <c r="D32" s="1253"/>
      <c r="E32" s="1251"/>
      <c r="F32" s="1251"/>
      <c r="G32" s="1251"/>
      <c r="H32" s="1254"/>
      <c r="I32" s="1255"/>
      <c r="J32" s="1256"/>
      <c r="K32" s="1257"/>
      <c r="L32" s="1256"/>
      <c r="M32" s="1258"/>
      <c r="N32" s="1256"/>
      <c r="O32" s="1253"/>
      <c r="P32" s="1259"/>
      <c r="Q32" s="1260"/>
      <c r="R32" s="1260"/>
      <c r="S32" s="1261"/>
      <c r="T32" s="1262"/>
      <c r="U32" s="1263"/>
      <c r="V32" s="1236">
        <f>V30+V31</f>
        <v>305458.56630000001</v>
      </c>
      <c r="W32" s="1236"/>
      <c r="X32" s="1236"/>
      <c r="Y32" s="1236">
        <f t="shared" si="11"/>
        <v>25454.880525</v>
      </c>
      <c r="Z32" s="1237"/>
      <c r="AA32" s="1238"/>
      <c r="AB32" s="1238"/>
      <c r="AC32" s="1239"/>
      <c r="AD32" s="1240"/>
      <c r="AE32" s="1241"/>
      <c r="AF32" s="1242"/>
      <c r="AG32" s="1240"/>
      <c r="AH32" s="1243"/>
      <c r="AI32" s="1238"/>
      <c r="AJ32" s="1244"/>
      <c r="AK32" s="1245"/>
      <c r="AL32" s="1246"/>
      <c r="AM32" s="1238">
        <f>AM30+AM31</f>
        <v>0</v>
      </c>
      <c r="AN32" s="1238"/>
      <c r="AO32" s="1239">
        <f>(Y32*3)-AM32</f>
        <v>76364.641575000001</v>
      </c>
      <c r="AP32" s="1236">
        <f t="shared" si="12"/>
        <v>0</v>
      </c>
      <c r="AQ32" s="1264"/>
      <c r="AR32" s="1248"/>
      <c r="AS32" s="1265"/>
      <c r="AT32" s="1266"/>
      <c r="AU32" s="1256"/>
    </row>
    <row r="33" spans="1:48" ht="112.5" x14ac:dyDescent="0.25">
      <c r="A33" s="115">
        <v>25</v>
      </c>
      <c r="B33" s="115">
        <v>7</v>
      </c>
      <c r="C33" s="108" t="s">
        <v>73</v>
      </c>
      <c r="D33" s="109" t="s">
        <v>2775</v>
      </c>
      <c r="E33" s="115" t="s">
        <v>1427</v>
      </c>
      <c r="F33" s="115">
        <v>6510700000</v>
      </c>
      <c r="G33" s="115" t="s">
        <v>74</v>
      </c>
      <c r="H33" s="109" t="s">
        <v>75</v>
      </c>
      <c r="I33" s="187"/>
      <c r="J33" s="109" t="s">
        <v>2663</v>
      </c>
      <c r="K33" s="1095"/>
      <c r="L33" s="109" t="s">
        <v>76</v>
      </c>
      <c r="M33" s="112">
        <v>41887</v>
      </c>
      <c r="N33" s="112" t="s">
        <v>77</v>
      </c>
      <c r="O33" s="109" t="s">
        <v>8</v>
      </c>
      <c r="P33" s="114">
        <v>0.47299999999999998</v>
      </c>
      <c r="Q33" s="521">
        <v>340.05</v>
      </c>
      <c r="R33" s="521">
        <v>1608436.5</v>
      </c>
      <c r="S33" s="521" t="s">
        <v>78</v>
      </c>
      <c r="T33" s="369"/>
      <c r="U33" s="344">
        <f t="shared" si="9"/>
        <v>112590.55500000001</v>
      </c>
      <c r="V33" s="344">
        <v>112590.55500000001</v>
      </c>
      <c r="W33" s="344">
        <v>7</v>
      </c>
      <c r="X33" s="344">
        <f t="shared" si="10"/>
        <v>23.803500000000003</v>
      </c>
      <c r="Y33" s="361">
        <f t="shared" si="11"/>
        <v>9382.5462500000012</v>
      </c>
      <c r="Z33" s="844"/>
      <c r="AA33" s="529">
        <v>9382.5499999999993</v>
      </c>
      <c r="AB33" s="364">
        <v>9382.5499999999993</v>
      </c>
      <c r="AC33" s="364"/>
      <c r="AD33" s="483"/>
      <c r="AE33" s="364"/>
      <c r="AF33" s="529"/>
      <c r="AG33" s="364"/>
      <c r="AH33" s="364"/>
      <c r="AI33" s="364"/>
      <c r="AJ33" s="762"/>
      <c r="AK33" s="529"/>
      <c r="AL33" s="756"/>
      <c r="AM33" s="364">
        <f t="shared" si="4"/>
        <v>18765.099999999999</v>
      </c>
      <c r="AN33" s="364">
        <f t="shared" si="5"/>
        <v>18765.099999999999</v>
      </c>
      <c r="AO33" s="562"/>
      <c r="AP33" s="344">
        <f t="shared" si="12"/>
        <v>16.666673327971424</v>
      </c>
      <c r="AQ33" s="107">
        <v>107276.35</v>
      </c>
      <c r="AR33" s="1096">
        <v>95.280061458085882</v>
      </c>
      <c r="AS33" s="164">
        <v>43976</v>
      </c>
      <c r="AT33" s="125" t="s">
        <v>1636</v>
      </c>
      <c r="AU33" s="113" t="s">
        <v>1641</v>
      </c>
    </row>
    <row r="34" spans="1:48" ht="300" x14ac:dyDescent="0.25">
      <c r="A34" s="8">
        <v>26</v>
      </c>
      <c r="B34" s="115"/>
      <c r="C34" s="108" t="s">
        <v>73</v>
      </c>
      <c r="D34" s="109" t="s">
        <v>79</v>
      </c>
      <c r="E34" s="115" t="s">
        <v>1427</v>
      </c>
      <c r="F34" s="115">
        <v>6510700000</v>
      </c>
      <c r="G34" s="115" t="s">
        <v>80</v>
      </c>
      <c r="H34" s="109" t="s">
        <v>81</v>
      </c>
      <c r="I34" s="187"/>
      <c r="J34" s="109" t="s">
        <v>2664</v>
      </c>
      <c r="K34" s="113" t="s">
        <v>82</v>
      </c>
      <c r="L34" s="109" t="s">
        <v>83</v>
      </c>
      <c r="M34" s="112">
        <v>41564</v>
      </c>
      <c r="N34" s="109" t="s">
        <v>84</v>
      </c>
      <c r="O34" s="109" t="s">
        <v>8</v>
      </c>
      <c r="P34" s="114">
        <v>0.77659999999999996</v>
      </c>
      <c r="Q34" s="107">
        <v>208.16</v>
      </c>
      <c r="R34" s="107">
        <v>1616570.56</v>
      </c>
      <c r="S34" s="115" t="s">
        <v>85</v>
      </c>
      <c r="T34" s="369"/>
      <c r="U34" s="353">
        <f t="shared" si="9"/>
        <v>113159.93920000001</v>
      </c>
      <c r="V34" s="353">
        <v>113159.93920000001</v>
      </c>
      <c r="W34" s="353">
        <v>7</v>
      </c>
      <c r="X34" s="345">
        <f t="shared" si="10"/>
        <v>14.571200000000001</v>
      </c>
      <c r="Y34" s="346">
        <f t="shared" si="11"/>
        <v>9429.9949333333334</v>
      </c>
      <c r="Z34" s="807"/>
      <c r="AA34" s="852">
        <v>9429.99</v>
      </c>
      <c r="AB34" s="359">
        <v>9429.99</v>
      </c>
      <c r="AC34" s="407"/>
      <c r="AD34" s="483"/>
      <c r="AE34" s="422"/>
      <c r="AF34" s="462"/>
      <c r="AG34" s="483"/>
      <c r="AH34" s="502"/>
      <c r="AI34" s="359"/>
      <c r="AJ34" s="751"/>
      <c r="AK34" s="529"/>
      <c r="AL34" s="752"/>
      <c r="AM34" s="359">
        <f t="shared" si="4"/>
        <v>18859.98</v>
      </c>
      <c r="AN34" s="359">
        <f t="shared" si="5"/>
        <v>18859.98</v>
      </c>
      <c r="AO34" s="562"/>
      <c r="AP34" s="345">
        <f t="shared" si="12"/>
        <v>16.666657947444353</v>
      </c>
      <c r="AQ34" s="521">
        <v>107276.35</v>
      </c>
      <c r="AR34" s="685">
        <v>94.80064301766609</v>
      </c>
      <c r="AS34" s="164">
        <v>45224</v>
      </c>
      <c r="AT34" s="109" t="s">
        <v>1638</v>
      </c>
      <c r="AU34" s="113" t="s">
        <v>1632</v>
      </c>
    </row>
    <row r="35" spans="1:48" ht="243.75" x14ac:dyDescent="0.25">
      <c r="A35" s="8">
        <v>27</v>
      </c>
      <c r="B35" s="9"/>
      <c r="C35" s="96" t="s">
        <v>73</v>
      </c>
      <c r="D35" s="10" t="s">
        <v>2776</v>
      </c>
      <c r="E35" s="9" t="s">
        <v>1427</v>
      </c>
      <c r="F35" s="9">
        <v>6510700000</v>
      </c>
      <c r="G35" s="9" t="s">
        <v>86</v>
      </c>
      <c r="H35" s="18" t="s">
        <v>87</v>
      </c>
      <c r="I35" s="83" t="s">
        <v>88</v>
      </c>
      <c r="J35" s="10" t="s">
        <v>89</v>
      </c>
      <c r="K35" s="13" t="s">
        <v>1428</v>
      </c>
      <c r="L35" s="13" t="s">
        <v>90</v>
      </c>
      <c r="M35" s="20" t="s">
        <v>1429</v>
      </c>
      <c r="N35" s="13"/>
      <c r="O35" s="10" t="s">
        <v>8</v>
      </c>
      <c r="P35" s="27">
        <v>7.7131999999999996</v>
      </c>
      <c r="Q35" s="12">
        <v>240.69</v>
      </c>
      <c r="R35" s="12">
        <v>18564901.079999998</v>
      </c>
      <c r="S35" s="12" t="s">
        <v>91</v>
      </c>
      <c r="T35" s="368"/>
      <c r="U35" s="339">
        <f t="shared" si="9"/>
        <v>928245.054</v>
      </c>
      <c r="V35" s="339">
        <v>928245.054</v>
      </c>
      <c r="W35" s="339">
        <v>5</v>
      </c>
      <c r="X35" s="333">
        <f t="shared" si="10"/>
        <v>12.0345</v>
      </c>
      <c r="Y35" s="334">
        <f t="shared" si="11"/>
        <v>77353.754499999995</v>
      </c>
      <c r="Z35" s="807"/>
      <c r="AA35" s="711">
        <v>77353.75</v>
      </c>
      <c r="AB35" s="340">
        <v>77353.75</v>
      </c>
      <c r="AC35" s="406"/>
      <c r="AD35" s="459"/>
      <c r="AE35" s="421"/>
      <c r="AF35" s="463"/>
      <c r="AG35" s="459"/>
      <c r="AH35" s="503"/>
      <c r="AI35" s="340"/>
      <c r="AJ35" s="740"/>
      <c r="AK35" s="741"/>
      <c r="AL35" s="732"/>
      <c r="AM35" s="340">
        <f t="shared" si="4"/>
        <v>154707.5</v>
      </c>
      <c r="AN35" s="340">
        <f t="shared" si="5"/>
        <v>154707.5</v>
      </c>
      <c r="AO35" s="468"/>
      <c r="AP35" s="333">
        <f t="shared" si="12"/>
        <v>16.666665697095112</v>
      </c>
      <c r="AQ35" s="192">
        <v>858210.75</v>
      </c>
      <c r="AR35" s="194">
        <v>92.455192333295216</v>
      </c>
      <c r="AS35" s="140" t="s">
        <v>2565</v>
      </c>
      <c r="AT35" s="78" t="s">
        <v>1640</v>
      </c>
      <c r="AU35" s="62" t="s">
        <v>1641</v>
      </c>
    </row>
    <row r="36" spans="1:48" ht="300" x14ac:dyDescent="0.25">
      <c r="A36" s="8">
        <v>28</v>
      </c>
      <c r="B36" s="9"/>
      <c r="C36" s="97" t="s">
        <v>73</v>
      </c>
      <c r="D36" s="14" t="s">
        <v>2776</v>
      </c>
      <c r="E36" s="9" t="s">
        <v>1427</v>
      </c>
      <c r="F36" s="9">
        <v>6510700000</v>
      </c>
      <c r="G36" s="9" t="s">
        <v>92</v>
      </c>
      <c r="H36" s="18" t="s">
        <v>93</v>
      </c>
      <c r="I36" s="83" t="s">
        <v>94</v>
      </c>
      <c r="J36" s="13" t="s">
        <v>95</v>
      </c>
      <c r="K36" s="13" t="s">
        <v>1428</v>
      </c>
      <c r="L36" s="13" t="s">
        <v>96</v>
      </c>
      <c r="M36" s="20" t="s">
        <v>1429</v>
      </c>
      <c r="N36" s="13" t="s">
        <v>3555</v>
      </c>
      <c r="O36" s="10" t="s">
        <v>8</v>
      </c>
      <c r="P36" s="27">
        <v>0.7913</v>
      </c>
      <c r="Q36" s="12">
        <f>R36/7913</f>
        <v>233.41</v>
      </c>
      <c r="R36" s="12">
        <v>1846973.33</v>
      </c>
      <c r="S36" s="12" t="s">
        <v>3556</v>
      </c>
      <c r="T36" s="368"/>
      <c r="U36" s="339">
        <f t="shared" si="9"/>
        <v>147757.8664</v>
      </c>
      <c r="V36" s="339">
        <f>U36</f>
        <v>147757.8664</v>
      </c>
      <c r="W36" s="339">
        <v>8</v>
      </c>
      <c r="X36" s="333">
        <f t="shared" si="10"/>
        <v>18.672799999999999</v>
      </c>
      <c r="Y36" s="334">
        <f t="shared" si="11"/>
        <v>12313.155533333333</v>
      </c>
      <c r="Z36" s="807"/>
      <c r="AA36" s="711">
        <v>11110.05</v>
      </c>
      <c r="AB36" s="340">
        <v>11110.06</v>
      </c>
      <c r="AC36" s="406"/>
      <c r="AD36" s="459"/>
      <c r="AE36" s="421"/>
      <c r="AF36" s="463"/>
      <c r="AG36" s="459"/>
      <c r="AH36" s="503"/>
      <c r="AI36" s="340"/>
      <c r="AJ36" s="740"/>
      <c r="AK36" s="741"/>
      <c r="AL36" s="732"/>
      <c r="AM36" s="340">
        <f t="shared" si="4"/>
        <v>22220.11</v>
      </c>
      <c r="AN36" s="340">
        <f t="shared" si="5"/>
        <v>22220.11</v>
      </c>
      <c r="AO36" s="468"/>
      <c r="AP36" s="333">
        <f t="shared" si="12"/>
        <v>15.03819088714183</v>
      </c>
      <c r="AQ36" s="192">
        <v>214552.7</v>
      </c>
      <c r="AR36" s="194">
        <v>160.92989633974628</v>
      </c>
      <c r="AS36" s="140" t="s">
        <v>2565</v>
      </c>
      <c r="AT36" s="18" t="s">
        <v>3557</v>
      </c>
      <c r="AU36" s="13" t="s">
        <v>1797</v>
      </c>
    </row>
    <row r="37" spans="1:48" ht="21" x14ac:dyDescent="0.25">
      <c r="A37" s="1167"/>
      <c r="B37" s="1222"/>
      <c r="C37" s="1223"/>
      <c r="D37" s="1224"/>
      <c r="E37" s="1222"/>
      <c r="F37" s="1225"/>
      <c r="G37" s="1225"/>
      <c r="H37" s="1226"/>
      <c r="I37" s="1227"/>
      <c r="J37" s="1228"/>
      <c r="K37" s="1229"/>
      <c r="L37" s="1229"/>
      <c r="M37" s="1230"/>
      <c r="N37" s="1229"/>
      <c r="O37" s="1231"/>
      <c r="P37" s="1232"/>
      <c r="Q37" s="1233"/>
      <c r="R37" s="1233"/>
      <c r="S37" s="1233"/>
      <c r="T37" s="1234"/>
      <c r="U37" s="1235"/>
      <c r="V37" s="1235">
        <f>V33+V34+V35+V36</f>
        <v>1301753.4146</v>
      </c>
      <c r="W37" s="1235"/>
      <c r="X37" s="1236"/>
      <c r="Y37" s="1236"/>
      <c r="Z37" s="1237"/>
      <c r="AA37" s="1238"/>
      <c r="AB37" s="1238"/>
      <c r="AC37" s="1239"/>
      <c r="AD37" s="1240"/>
      <c r="AE37" s="1241"/>
      <c r="AF37" s="1242"/>
      <c r="AG37" s="1240"/>
      <c r="AH37" s="1243"/>
      <c r="AI37" s="1238"/>
      <c r="AJ37" s="1244"/>
      <c r="AK37" s="1245"/>
      <c r="AL37" s="1246"/>
      <c r="AM37" s="1238">
        <f>AM33+AM34+AM35+AM36</f>
        <v>214552.69</v>
      </c>
      <c r="AN37" s="1238"/>
      <c r="AO37" s="1245">
        <f>(Y37*3)-AM37</f>
        <v>-214552.69</v>
      </c>
      <c r="AP37" s="1236">
        <f t="shared" si="12"/>
        <v>16.481822716472557</v>
      </c>
      <c r="AQ37" s="1247"/>
      <c r="AR37" s="1248"/>
      <c r="AS37" s="1249"/>
      <c r="AT37" s="1250"/>
      <c r="AU37" s="1228"/>
    </row>
    <row r="38" spans="1:48" ht="150" x14ac:dyDescent="0.25">
      <c r="A38" s="8">
        <v>31</v>
      </c>
      <c r="B38" s="9">
        <v>9</v>
      </c>
      <c r="C38" s="108" t="s">
        <v>104</v>
      </c>
      <c r="D38" s="131" t="s">
        <v>105</v>
      </c>
      <c r="E38" s="115">
        <v>23138043</v>
      </c>
      <c r="F38" s="110">
        <v>6510700000</v>
      </c>
      <c r="G38" s="110" t="s">
        <v>106</v>
      </c>
      <c r="H38" s="110" t="s">
        <v>105</v>
      </c>
      <c r="I38" s="111" t="s">
        <v>107</v>
      </c>
      <c r="J38" s="457" t="s">
        <v>2510</v>
      </c>
      <c r="K38" s="111" t="s">
        <v>1431</v>
      </c>
      <c r="L38" s="121">
        <v>18718356</v>
      </c>
      <c r="M38" s="126" t="s">
        <v>1432</v>
      </c>
      <c r="N38" s="121" t="s">
        <v>2511</v>
      </c>
      <c r="O38" s="109" t="s">
        <v>8</v>
      </c>
      <c r="P38" s="114">
        <v>2.2200000000000001E-2</v>
      </c>
      <c r="Q38" s="107">
        <v>2043.23</v>
      </c>
      <c r="R38" s="107">
        <v>453597.06</v>
      </c>
      <c r="S38" s="176" t="s">
        <v>2389</v>
      </c>
      <c r="T38" s="369"/>
      <c r="U38" s="344">
        <f t="shared" si="9"/>
        <v>54431.647199999999</v>
      </c>
      <c r="V38" s="345">
        <f>U38</f>
        <v>54431.647199999999</v>
      </c>
      <c r="W38" s="345">
        <v>12</v>
      </c>
      <c r="X38" s="345">
        <f>U38/(P38*10000)</f>
        <v>245.1876</v>
      </c>
      <c r="Y38" s="346">
        <f t="shared" si="11"/>
        <v>4535.9705999999996</v>
      </c>
      <c r="Z38" s="807"/>
      <c r="AA38" s="852">
        <v>3236</v>
      </c>
      <c r="AB38" s="359">
        <f>1300+50+4536</f>
        <v>5886</v>
      </c>
      <c r="AC38" s="407"/>
      <c r="AD38" s="483">
        <v>4536</v>
      </c>
      <c r="AE38" s="422"/>
      <c r="AF38" s="462"/>
      <c r="AG38" s="483"/>
      <c r="AH38" s="502"/>
      <c r="AI38" s="359"/>
      <c r="AJ38" s="751"/>
      <c r="AK38" s="529"/>
      <c r="AL38" s="752"/>
      <c r="AM38" s="340">
        <f t="shared" si="4"/>
        <v>13658</v>
      </c>
      <c r="AN38" s="340">
        <f t="shared" si="5"/>
        <v>13658</v>
      </c>
      <c r="AO38" s="468"/>
      <c r="AP38" s="345">
        <f t="shared" si="12"/>
        <v>25.092020364211944</v>
      </c>
      <c r="AQ38" s="521">
        <v>54799</v>
      </c>
      <c r="AR38" s="685">
        <v>100.67488826610413</v>
      </c>
      <c r="AS38" s="164">
        <v>44697</v>
      </c>
      <c r="AT38" s="125" t="s">
        <v>1644</v>
      </c>
      <c r="AU38" s="113" t="s">
        <v>1634</v>
      </c>
    </row>
    <row r="39" spans="1:48" ht="93.75" x14ac:dyDescent="0.25">
      <c r="A39" s="8">
        <v>32</v>
      </c>
      <c r="B39" s="9">
        <v>10</v>
      </c>
      <c r="C39" s="96" t="s">
        <v>108</v>
      </c>
      <c r="D39" s="80" t="s">
        <v>109</v>
      </c>
      <c r="E39" s="10">
        <v>23139574</v>
      </c>
      <c r="F39" s="19">
        <v>6510700000</v>
      </c>
      <c r="G39" s="9" t="s">
        <v>110</v>
      </c>
      <c r="H39" s="9" t="s">
        <v>111</v>
      </c>
      <c r="I39" s="13" t="s">
        <v>112</v>
      </c>
      <c r="J39" s="13" t="s">
        <v>113</v>
      </c>
      <c r="K39" s="13" t="s">
        <v>114</v>
      </c>
      <c r="L39" s="13" t="s">
        <v>115</v>
      </c>
      <c r="M39" s="20" t="s">
        <v>114</v>
      </c>
      <c r="N39" s="13" t="s">
        <v>116</v>
      </c>
      <c r="O39" s="10" t="s">
        <v>8</v>
      </c>
      <c r="P39" s="27">
        <v>5.4999999999999997E-3</v>
      </c>
      <c r="Q39" s="12">
        <v>1716.69</v>
      </c>
      <c r="R39" s="163">
        <v>94417.95</v>
      </c>
      <c r="S39" s="80" t="s">
        <v>117</v>
      </c>
      <c r="T39" s="371"/>
      <c r="U39" s="339">
        <f t="shared" si="9"/>
        <v>9913.8847499999993</v>
      </c>
      <c r="V39" s="339">
        <f>U39</f>
        <v>9913.8847499999993</v>
      </c>
      <c r="W39" s="339">
        <v>10.5</v>
      </c>
      <c r="X39" s="333">
        <f>V39/(P39*10000)</f>
        <v>180.25244999999998</v>
      </c>
      <c r="Y39" s="334">
        <f t="shared" si="11"/>
        <v>826.15706249999994</v>
      </c>
      <c r="Z39" s="807"/>
      <c r="AA39" s="711">
        <v>826.16</v>
      </c>
      <c r="AB39" s="340">
        <v>826.16</v>
      </c>
      <c r="AC39" s="406"/>
      <c r="AD39" s="459"/>
      <c r="AE39" s="421"/>
      <c r="AF39" s="463"/>
      <c r="AG39" s="459"/>
      <c r="AH39" s="503"/>
      <c r="AI39" s="340"/>
      <c r="AJ39" s="749"/>
      <c r="AK39" s="741"/>
      <c r="AL39" s="732"/>
      <c r="AM39" s="340">
        <f t="shared" si="4"/>
        <v>1652.32</v>
      </c>
      <c r="AN39" s="340">
        <f t="shared" si="5"/>
        <v>1652.32</v>
      </c>
      <c r="AO39" s="468"/>
      <c r="AP39" s="333">
        <f t="shared" si="12"/>
        <v>16.666725926988409</v>
      </c>
      <c r="AQ39" s="192">
        <v>9503.11</v>
      </c>
      <c r="AR39" s="194">
        <v>95.85657125981821</v>
      </c>
      <c r="AS39" s="140" t="s">
        <v>2556</v>
      </c>
      <c r="AT39" s="11" t="s">
        <v>1645</v>
      </c>
      <c r="AU39" s="13" t="s">
        <v>1629</v>
      </c>
    </row>
    <row r="40" spans="1:48" ht="168.75" x14ac:dyDescent="0.25">
      <c r="A40" s="8">
        <v>33</v>
      </c>
      <c r="B40" s="115"/>
      <c r="C40" s="119" t="s">
        <v>108</v>
      </c>
      <c r="D40" s="176" t="s">
        <v>109</v>
      </c>
      <c r="E40" s="109" t="s">
        <v>1433</v>
      </c>
      <c r="F40" s="110">
        <v>6510700000</v>
      </c>
      <c r="G40" s="110" t="s">
        <v>118</v>
      </c>
      <c r="H40" s="110" t="s">
        <v>119</v>
      </c>
      <c r="I40" s="188" t="s">
        <v>120</v>
      </c>
      <c r="J40" s="113" t="s">
        <v>121</v>
      </c>
      <c r="K40" s="113" t="s">
        <v>1434</v>
      </c>
      <c r="L40" s="113" t="s">
        <v>122</v>
      </c>
      <c r="M40" s="112" t="s">
        <v>123</v>
      </c>
      <c r="N40" s="113" t="s">
        <v>1435</v>
      </c>
      <c r="O40" s="109" t="s">
        <v>8</v>
      </c>
      <c r="P40" s="114">
        <v>2.3999999999999998E-3</v>
      </c>
      <c r="Q40" s="107">
        <v>1716.69</v>
      </c>
      <c r="R40" s="107">
        <v>41200.559999999998</v>
      </c>
      <c r="S40" s="176" t="s">
        <v>124</v>
      </c>
      <c r="T40" s="369"/>
      <c r="U40" s="339">
        <f t="shared" si="9"/>
        <v>3502.0475999999999</v>
      </c>
      <c r="V40" s="339">
        <f>U40</f>
        <v>3502.0475999999999</v>
      </c>
      <c r="W40" s="339">
        <v>8.5</v>
      </c>
      <c r="X40" s="333">
        <f>V40/(P40*10000)</f>
        <v>145.91865000000001</v>
      </c>
      <c r="Y40" s="333">
        <f t="shared" si="11"/>
        <v>291.83729999999997</v>
      </c>
      <c r="Z40" s="807"/>
      <c r="AA40" s="711">
        <v>291.85000000000002</v>
      </c>
      <c r="AB40" s="340">
        <v>291.85000000000002</v>
      </c>
      <c r="AC40" s="406"/>
      <c r="AD40" s="459"/>
      <c r="AE40" s="421"/>
      <c r="AF40" s="463"/>
      <c r="AG40" s="459"/>
      <c r="AH40" s="503"/>
      <c r="AI40" s="340"/>
      <c r="AJ40" s="740"/>
      <c r="AK40" s="741"/>
      <c r="AL40" s="732"/>
      <c r="AM40" s="340">
        <f t="shared" si="4"/>
        <v>583.70000000000005</v>
      </c>
      <c r="AN40" s="340">
        <f t="shared" si="5"/>
        <v>583.70000000000005</v>
      </c>
      <c r="AO40" s="468"/>
      <c r="AP40" s="333">
        <f t="shared" si="12"/>
        <v>16.667391956637029</v>
      </c>
      <c r="AQ40" s="521">
        <v>3913.0599999999995</v>
      </c>
      <c r="AR40" s="416">
        <v>111.73634533122849</v>
      </c>
      <c r="AS40" s="412" t="s">
        <v>2568</v>
      </c>
      <c r="AT40" s="125" t="s">
        <v>1646</v>
      </c>
      <c r="AU40" s="113" t="s">
        <v>1629</v>
      </c>
    </row>
    <row r="41" spans="1:48" ht="18.75" x14ac:dyDescent="0.25">
      <c r="A41" s="1119"/>
      <c r="B41" s="1119"/>
      <c r="C41" s="1129"/>
      <c r="D41" s="1130"/>
      <c r="E41" s="1131"/>
      <c r="F41" s="1132"/>
      <c r="G41" s="1132"/>
      <c r="H41" s="1132"/>
      <c r="I41" s="1157"/>
      <c r="J41" s="1134"/>
      <c r="K41" s="1134"/>
      <c r="L41" s="1134"/>
      <c r="M41" s="630"/>
      <c r="N41" s="1134"/>
      <c r="O41" s="1131"/>
      <c r="P41" s="1135"/>
      <c r="Q41" s="163"/>
      <c r="R41" s="163"/>
      <c r="S41" s="1130"/>
      <c r="T41" s="1125"/>
      <c r="U41" s="632"/>
      <c r="V41" s="394">
        <f>V39+V40</f>
        <v>13415.932349999999</v>
      </c>
      <c r="W41" s="632"/>
      <c r="X41" s="338"/>
      <c r="Y41" s="338">
        <f t="shared" si="11"/>
        <v>1117.9943624999999</v>
      </c>
      <c r="Z41" s="807"/>
      <c r="AA41" s="1158"/>
      <c r="AB41" s="743"/>
      <c r="AC41" s="883"/>
      <c r="AD41" s="1001"/>
      <c r="AE41" s="1136"/>
      <c r="AF41" s="467"/>
      <c r="AG41" s="1001"/>
      <c r="AH41" s="1137"/>
      <c r="AI41" s="743"/>
      <c r="AJ41" s="1138"/>
      <c r="AK41" s="747"/>
      <c r="AL41" s="1139"/>
      <c r="AM41" s="743">
        <f>AM39+AM40</f>
        <v>2236.02</v>
      </c>
      <c r="AN41" s="743"/>
      <c r="AO41" s="883">
        <f>(Y41*3)-AM41</f>
        <v>1117.9630874999998</v>
      </c>
      <c r="AP41" s="338">
        <f t="shared" si="12"/>
        <v>16.666899785015687</v>
      </c>
      <c r="AQ41" s="1140"/>
      <c r="AR41" s="1141"/>
      <c r="AS41" s="1159"/>
      <c r="AT41" s="1160"/>
      <c r="AU41" s="1134"/>
    </row>
    <row r="42" spans="1:48" ht="93.75" x14ac:dyDescent="0.25">
      <c r="A42" s="8">
        <v>34</v>
      </c>
      <c r="B42" s="9">
        <v>11</v>
      </c>
      <c r="C42" s="96" t="s">
        <v>125</v>
      </c>
      <c r="D42" s="80" t="s">
        <v>3028</v>
      </c>
      <c r="E42" s="10" t="s">
        <v>1436</v>
      </c>
      <c r="F42" s="19">
        <v>6510700000</v>
      </c>
      <c r="G42" s="19" t="s">
        <v>126</v>
      </c>
      <c r="H42" s="19" t="s">
        <v>127</v>
      </c>
      <c r="I42" s="75" t="s">
        <v>128</v>
      </c>
      <c r="J42" s="10" t="s">
        <v>129</v>
      </c>
      <c r="K42" s="13" t="s">
        <v>1437</v>
      </c>
      <c r="L42" s="10" t="s">
        <v>130</v>
      </c>
      <c r="M42" s="20" t="s">
        <v>131</v>
      </c>
      <c r="N42" s="10"/>
      <c r="O42" s="10" t="s">
        <v>8</v>
      </c>
      <c r="P42" s="27">
        <v>0.81389999999999996</v>
      </c>
      <c r="Q42" s="12">
        <v>219.74</v>
      </c>
      <c r="R42" s="12">
        <v>1788463.86</v>
      </c>
      <c r="S42" s="12" t="s">
        <v>132</v>
      </c>
      <c r="T42" s="368"/>
      <c r="U42" s="339">
        <f t="shared" si="9"/>
        <v>143077.10880000002</v>
      </c>
      <c r="V42" s="339">
        <v>143077.10880000002</v>
      </c>
      <c r="W42" s="339">
        <v>8</v>
      </c>
      <c r="X42" s="333">
        <f>V42/(P42*10000)</f>
        <v>17.579200000000004</v>
      </c>
      <c r="Y42" s="334">
        <f t="shared" si="11"/>
        <v>11923.092400000001</v>
      </c>
      <c r="Z42" s="807">
        <v>69976.72</v>
      </c>
      <c r="AA42" s="853"/>
      <c r="AB42" s="340"/>
      <c r="AC42" s="406"/>
      <c r="AD42" s="459">
        <v>86227.58</v>
      </c>
      <c r="AE42" s="421"/>
      <c r="AF42" s="463"/>
      <c r="AG42" s="459"/>
      <c r="AH42" s="503"/>
      <c r="AI42" s="340"/>
      <c r="AJ42" s="740"/>
      <c r="AK42" s="741"/>
      <c r="AL42" s="732"/>
      <c r="AM42" s="340">
        <f t="shared" si="4"/>
        <v>156204.29999999999</v>
      </c>
      <c r="AN42" s="340">
        <f t="shared" si="5"/>
        <v>86227.58</v>
      </c>
      <c r="AO42" s="468"/>
      <c r="AP42" s="333">
        <f t="shared" si="12"/>
        <v>109.17490667102435</v>
      </c>
      <c r="AQ42" s="192">
        <v>121485.70000000001</v>
      </c>
      <c r="AR42" s="194">
        <v>84.909249997369258</v>
      </c>
      <c r="AS42" s="140" t="s">
        <v>2616</v>
      </c>
      <c r="AT42" s="11" t="s">
        <v>1625</v>
      </c>
      <c r="AU42" s="62" t="s">
        <v>1632</v>
      </c>
    </row>
    <row r="43" spans="1:48" ht="318.75" x14ac:dyDescent="0.25">
      <c r="A43" s="414">
        <v>35</v>
      </c>
      <c r="B43" s="569"/>
      <c r="C43" s="818" t="s">
        <v>125</v>
      </c>
      <c r="D43" s="819" t="s">
        <v>3028</v>
      </c>
      <c r="E43" s="820" t="s">
        <v>1436</v>
      </c>
      <c r="F43" s="821">
        <v>6510700000</v>
      </c>
      <c r="G43" s="821" t="s">
        <v>2810</v>
      </c>
      <c r="H43" s="821" t="s">
        <v>2811</v>
      </c>
      <c r="I43" s="822" t="s">
        <v>3304</v>
      </c>
      <c r="J43" s="823" t="s">
        <v>3305</v>
      </c>
      <c r="K43" s="824" t="s">
        <v>3265</v>
      </c>
      <c r="L43" s="823" t="s">
        <v>3306</v>
      </c>
      <c r="M43" s="825">
        <v>43840</v>
      </c>
      <c r="N43" s="823"/>
      <c r="O43" s="820" t="s">
        <v>8</v>
      </c>
      <c r="P43" s="826">
        <v>0.87549999999999994</v>
      </c>
      <c r="Q43" s="827">
        <v>942.95</v>
      </c>
      <c r="R43" s="687">
        <v>8255527.25</v>
      </c>
      <c r="S43" s="819" t="s">
        <v>3307</v>
      </c>
      <c r="T43" s="828"/>
      <c r="U43" s="829">
        <f t="shared" si="9"/>
        <v>660442.18000000005</v>
      </c>
      <c r="V43" s="829">
        <f>U43</f>
        <v>660442.18000000005</v>
      </c>
      <c r="W43" s="829">
        <v>8</v>
      </c>
      <c r="X43" s="829">
        <f>V43/(P43*10000)</f>
        <v>75.436000000000007</v>
      </c>
      <c r="Y43" s="830">
        <f t="shared" si="11"/>
        <v>55036.848333333335</v>
      </c>
      <c r="Z43" s="839"/>
      <c r="AA43" s="777">
        <v>4055.36</v>
      </c>
      <c r="AB43" s="611"/>
      <c r="AC43" s="611"/>
      <c r="AD43" s="594"/>
      <c r="AE43" s="611"/>
      <c r="AF43" s="777"/>
      <c r="AG43" s="611"/>
      <c r="AH43" s="611"/>
      <c r="AI43" s="611"/>
      <c r="AJ43" s="831"/>
      <c r="AK43" s="777"/>
      <c r="AL43" s="832"/>
      <c r="AM43" s="406">
        <f t="shared" si="4"/>
        <v>4055.36</v>
      </c>
      <c r="AN43" s="406">
        <f t="shared" si="5"/>
        <v>4055.36</v>
      </c>
      <c r="AO43" s="468"/>
      <c r="AP43" s="829">
        <f t="shared" si="12"/>
        <v>0.61403709859960787</v>
      </c>
      <c r="AQ43" s="687">
        <v>337754.37</v>
      </c>
      <c r="AR43" s="688">
        <v>40.912513492097062</v>
      </c>
      <c r="AS43" s="833">
        <v>44494</v>
      </c>
      <c r="AT43" s="834" t="s">
        <v>1647</v>
      </c>
      <c r="AU43" s="835" t="s">
        <v>1634</v>
      </c>
      <c r="AV43" s="309" t="s">
        <v>3509</v>
      </c>
    </row>
    <row r="44" spans="1:48" ht="150" x14ac:dyDescent="0.25">
      <c r="A44" s="8">
        <v>36</v>
      </c>
      <c r="B44" s="115"/>
      <c r="C44" s="513" t="s">
        <v>125</v>
      </c>
      <c r="D44" s="176" t="s">
        <v>3028</v>
      </c>
      <c r="E44" s="109" t="s">
        <v>1436</v>
      </c>
      <c r="F44" s="110">
        <v>6510700000</v>
      </c>
      <c r="G44" s="110" t="s">
        <v>3019</v>
      </c>
      <c r="H44" s="110" t="s">
        <v>3020</v>
      </c>
      <c r="I44" s="111" t="s">
        <v>3021</v>
      </c>
      <c r="J44" s="121" t="s">
        <v>3022</v>
      </c>
      <c r="K44" s="111" t="s">
        <v>3023</v>
      </c>
      <c r="L44" s="121" t="s">
        <v>3024</v>
      </c>
      <c r="M44" s="126">
        <v>43759</v>
      </c>
      <c r="N44" s="121"/>
      <c r="O44" s="109" t="s">
        <v>8</v>
      </c>
      <c r="P44" s="122">
        <v>8.0000000000000002E-3</v>
      </c>
      <c r="Q44" s="123">
        <f>R44/80</f>
        <v>2043.23</v>
      </c>
      <c r="R44" s="107">
        <v>163458.4</v>
      </c>
      <c r="S44" s="176" t="s">
        <v>3025</v>
      </c>
      <c r="T44" s="369"/>
      <c r="U44" s="344">
        <v>13076.67</v>
      </c>
      <c r="V44" s="344">
        <v>13076.67</v>
      </c>
      <c r="W44" s="344">
        <v>8</v>
      </c>
      <c r="X44" s="344">
        <f>U44/(P44*10000)</f>
        <v>163.45837499999999</v>
      </c>
      <c r="Y44" s="361">
        <f t="shared" si="11"/>
        <v>1089.7225000000001</v>
      </c>
      <c r="Z44" s="840"/>
      <c r="AA44" s="529">
        <v>1089.7225000000001</v>
      </c>
      <c r="AB44" s="364"/>
      <c r="AC44" s="407"/>
      <c r="AD44" s="483"/>
      <c r="AE44" s="364"/>
      <c r="AF44" s="529"/>
      <c r="AG44" s="364"/>
      <c r="AH44" s="364"/>
      <c r="AI44" s="364"/>
      <c r="AJ44" s="755"/>
      <c r="AK44" s="750"/>
      <c r="AL44" s="756"/>
      <c r="AM44" s="340">
        <f t="shared" si="4"/>
        <v>1089.7225000000001</v>
      </c>
      <c r="AN44" s="340">
        <f t="shared" si="5"/>
        <v>1089.7225000000001</v>
      </c>
      <c r="AO44" s="468"/>
      <c r="AP44" s="344">
        <f t="shared" si="12"/>
        <v>8.3333333333333339</v>
      </c>
      <c r="AQ44" s="521">
        <v>0</v>
      </c>
      <c r="AR44" s="685">
        <v>0</v>
      </c>
      <c r="AS44" s="444">
        <v>44795</v>
      </c>
      <c r="AT44" s="124" t="s">
        <v>3026</v>
      </c>
      <c r="AU44" s="113" t="s">
        <v>1634</v>
      </c>
    </row>
    <row r="45" spans="1:48" ht="206.25" x14ac:dyDescent="0.25">
      <c r="A45" s="8">
        <v>37</v>
      </c>
      <c r="B45" s="115"/>
      <c r="C45" s="513" t="s">
        <v>125</v>
      </c>
      <c r="D45" s="176" t="s">
        <v>3028</v>
      </c>
      <c r="E45" s="109" t="s">
        <v>1436</v>
      </c>
      <c r="F45" s="110">
        <v>6510700000</v>
      </c>
      <c r="G45" s="110" t="s">
        <v>3027</v>
      </c>
      <c r="H45" s="110" t="s">
        <v>3028</v>
      </c>
      <c r="I45" s="111" t="s">
        <v>3021</v>
      </c>
      <c r="J45" s="121" t="s">
        <v>3029</v>
      </c>
      <c r="K45" s="111" t="s">
        <v>3023</v>
      </c>
      <c r="L45" s="121" t="s">
        <v>3030</v>
      </c>
      <c r="M45" s="126">
        <v>43759</v>
      </c>
      <c r="N45" s="121"/>
      <c r="O45" s="109" t="s">
        <v>8</v>
      </c>
      <c r="P45" s="122">
        <v>8.3699999999999997E-2</v>
      </c>
      <c r="Q45" s="123">
        <f>R45/837</f>
        <v>2043.23</v>
      </c>
      <c r="R45" s="107">
        <v>1710183.51</v>
      </c>
      <c r="S45" s="176" t="s">
        <v>3031</v>
      </c>
      <c r="T45" s="369"/>
      <c r="U45" s="344">
        <f t="shared" ref="U45:U62" si="13">R45*W45%</f>
        <v>136814.6808</v>
      </c>
      <c r="V45" s="344">
        <f t="shared" ref="V45:V62" si="14">U45</f>
        <v>136814.6808</v>
      </c>
      <c r="W45" s="344">
        <v>8</v>
      </c>
      <c r="X45" s="344">
        <f>U45/(P45*10000)</f>
        <v>163.45840000000001</v>
      </c>
      <c r="Y45" s="361">
        <f t="shared" si="11"/>
        <v>11401.223400000001</v>
      </c>
      <c r="Z45" s="840"/>
      <c r="AA45" s="529">
        <v>11401.223400000001</v>
      </c>
      <c r="AB45" s="364"/>
      <c r="AC45" s="407"/>
      <c r="AD45" s="483"/>
      <c r="AE45" s="364"/>
      <c r="AF45" s="529"/>
      <c r="AG45" s="364"/>
      <c r="AH45" s="364"/>
      <c r="AI45" s="364"/>
      <c r="AJ45" s="751"/>
      <c r="AK45" s="529"/>
      <c r="AL45" s="756"/>
      <c r="AM45" s="340">
        <f t="shared" si="4"/>
        <v>11401.223400000001</v>
      </c>
      <c r="AN45" s="340">
        <f t="shared" si="5"/>
        <v>11401.223400000001</v>
      </c>
      <c r="AO45" s="468"/>
      <c r="AP45" s="344">
        <f t="shared" si="12"/>
        <v>8.3333333333333339</v>
      </c>
      <c r="AQ45" s="521">
        <v>28503.38</v>
      </c>
      <c r="AR45" s="685">
        <v>106.16558974137403</v>
      </c>
      <c r="AS45" s="444">
        <v>44795</v>
      </c>
      <c r="AT45" s="124" t="s">
        <v>3037</v>
      </c>
      <c r="AU45" s="113" t="s">
        <v>1634</v>
      </c>
    </row>
    <row r="46" spans="1:48" ht="318.75" x14ac:dyDescent="0.25">
      <c r="A46" s="8">
        <v>38</v>
      </c>
      <c r="B46" s="115"/>
      <c r="C46" s="513" t="s">
        <v>125</v>
      </c>
      <c r="D46" s="176" t="s">
        <v>3028</v>
      </c>
      <c r="E46" s="109" t="s">
        <v>1436</v>
      </c>
      <c r="F46" s="110">
        <v>6510700000</v>
      </c>
      <c r="G46" s="110" t="s">
        <v>3032</v>
      </c>
      <c r="H46" s="110" t="s">
        <v>3033</v>
      </c>
      <c r="I46" s="111" t="s">
        <v>3021</v>
      </c>
      <c r="J46" s="121" t="s">
        <v>3034</v>
      </c>
      <c r="K46" s="111" t="s">
        <v>3023</v>
      </c>
      <c r="L46" s="121" t="s">
        <v>3035</v>
      </c>
      <c r="M46" s="126">
        <v>43759</v>
      </c>
      <c r="N46" s="121"/>
      <c r="O46" s="109" t="s">
        <v>8</v>
      </c>
      <c r="P46" s="122">
        <v>3.8199999999999998E-2</v>
      </c>
      <c r="Q46" s="123">
        <f>R46/382</f>
        <v>2043.23</v>
      </c>
      <c r="R46" s="107">
        <v>780513.86</v>
      </c>
      <c r="S46" s="176" t="s">
        <v>3036</v>
      </c>
      <c r="T46" s="369"/>
      <c r="U46" s="344">
        <f t="shared" si="13"/>
        <v>78051.385999999999</v>
      </c>
      <c r="V46" s="344">
        <f t="shared" si="14"/>
        <v>78051.385999999999</v>
      </c>
      <c r="W46" s="344">
        <v>10</v>
      </c>
      <c r="X46" s="344">
        <f>U46/(P46*10000)</f>
        <v>204.32300000000001</v>
      </c>
      <c r="Y46" s="361">
        <f t="shared" si="11"/>
        <v>6504.2821666666669</v>
      </c>
      <c r="Z46" s="840"/>
      <c r="AA46" s="529">
        <v>6504.2821666666669</v>
      </c>
      <c r="AB46" s="364"/>
      <c r="AC46" s="407"/>
      <c r="AD46" s="483"/>
      <c r="AE46" s="364"/>
      <c r="AF46" s="529"/>
      <c r="AG46" s="364"/>
      <c r="AH46" s="364"/>
      <c r="AI46" s="364"/>
      <c r="AJ46" s="751"/>
      <c r="AK46" s="529"/>
      <c r="AL46" s="756"/>
      <c r="AM46" s="340">
        <f t="shared" si="4"/>
        <v>6504.2821666666669</v>
      </c>
      <c r="AN46" s="340">
        <f t="shared" si="5"/>
        <v>6504.2821666666669</v>
      </c>
      <c r="AO46" s="468"/>
      <c r="AP46" s="344">
        <f t="shared" si="12"/>
        <v>8.3333333333333339</v>
      </c>
      <c r="AQ46" s="521">
        <v>0</v>
      </c>
      <c r="AR46" s="685">
        <v>0</v>
      </c>
      <c r="AS46" s="444">
        <v>44795</v>
      </c>
      <c r="AT46" s="124" t="s">
        <v>3038</v>
      </c>
      <c r="AU46" s="113" t="s">
        <v>1634</v>
      </c>
    </row>
    <row r="47" spans="1:48" ht="21" x14ac:dyDescent="0.25">
      <c r="A47" s="1167"/>
      <c r="B47" s="1167"/>
      <c r="C47" s="1168"/>
      <c r="D47" s="1169"/>
      <c r="E47" s="1170"/>
      <c r="F47" s="1171"/>
      <c r="G47" s="1171"/>
      <c r="H47" s="1171"/>
      <c r="I47" s="1172"/>
      <c r="J47" s="1173"/>
      <c r="K47" s="1172"/>
      <c r="L47" s="1173"/>
      <c r="M47" s="1174"/>
      <c r="N47" s="1173"/>
      <c r="O47" s="1170"/>
      <c r="P47" s="1175"/>
      <c r="Q47" s="1176"/>
      <c r="R47" s="1177"/>
      <c r="S47" s="1169"/>
      <c r="T47" s="1178"/>
      <c r="U47" s="1164"/>
      <c r="V47" s="1164">
        <f>V42+V43+V44+V45+V46</f>
        <v>1031462.0256000001</v>
      </c>
      <c r="W47" s="1164"/>
      <c r="X47" s="1164"/>
      <c r="Y47" s="1164">
        <f t="shared" si="11"/>
        <v>85955.168799999999</v>
      </c>
      <c r="Z47" s="1165"/>
      <c r="AA47" s="1166"/>
      <c r="AB47" s="1166"/>
      <c r="AC47" s="1179"/>
      <c r="AD47" s="1180"/>
      <c r="AE47" s="1166"/>
      <c r="AF47" s="1166"/>
      <c r="AG47" s="1166"/>
      <c r="AH47" s="1166"/>
      <c r="AI47" s="1166"/>
      <c r="AJ47" s="1181"/>
      <c r="AK47" s="1166"/>
      <c r="AL47" s="1182"/>
      <c r="AM47" s="1183">
        <f>AM42+AM43+AM44+AM45+AM46</f>
        <v>179254.88806666664</v>
      </c>
      <c r="AN47" s="1183"/>
      <c r="AO47" s="1179">
        <f>(Y47*3)-AM47</f>
        <v>78610.618333333376</v>
      </c>
      <c r="AP47" s="1164">
        <f t="shared" si="12"/>
        <v>17.37871910140311</v>
      </c>
      <c r="AQ47" s="1184"/>
      <c r="AR47" s="1185"/>
      <c r="AS47" s="1186"/>
      <c r="AT47" s="1187"/>
      <c r="AU47" s="1188"/>
    </row>
    <row r="48" spans="1:48" ht="112.5" x14ac:dyDescent="0.25">
      <c r="A48" s="8">
        <v>39</v>
      </c>
      <c r="B48" s="8">
        <v>12</v>
      </c>
      <c r="C48" s="393" t="s">
        <v>135</v>
      </c>
      <c r="D48" s="14" t="s">
        <v>136</v>
      </c>
      <c r="E48" s="14" t="s">
        <v>1438</v>
      </c>
      <c r="F48" s="16">
        <v>6510700000</v>
      </c>
      <c r="G48" s="16" t="s">
        <v>2899</v>
      </c>
      <c r="H48" s="16" t="s">
        <v>2895</v>
      </c>
      <c r="I48" s="75" t="s">
        <v>2861</v>
      </c>
      <c r="J48" s="63" t="s">
        <v>2876</v>
      </c>
      <c r="K48" s="81" t="s">
        <v>2863</v>
      </c>
      <c r="L48" s="63" t="s">
        <v>2877</v>
      </c>
      <c r="M48" s="93" t="s">
        <v>2870</v>
      </c>
      <c r="N48" s="63"/>
      <c r="O48" s="14" t="s">
        <v>8</v>
      </c>
      <c r="P48" s="90">
        <v>1.7600000000000001E-2</v>
      </c>
      <c r="Q48" s="68">
        <f>R48/176</f>
        <v>451.15</v>
      </c>
      <c r="R48" s="68">
        <v>79402.399999999994</v>
      </c>
      <c r="S48" s="105" t="s">
        <v>2217</v>
      </c>
      <c r="T48" s="367"/>
      <c r="U48" s="336">
        <f t="shared" si="13"/>
        <v>9528.2879999999986</v>
      </c>
      <c r="V48" s="336">
        <f t="shared" si="14"/>
        <v>9528.2879999999986</v>
      </c>
      <c r="W48" s="336">
        <v>12</v>
      </c>
      <c r="X48" s="336">
        <f t="shared" ref="X48:X65" si="15">V48/(P48*10000)</f>
        <v>54.137999999999991</v>
      </c>
      <c r="Y48" s="394">
        <f t="shared" si="11"/>
        <v>794.02399999999989</v>
      </c>
      <c r="Z48" s="840"/>
      <c r="AA48" s="747"/>
      <c r="AB48" s="511"/>
      <c r="AC48" s="464"/>
      <c r="AD48" s="458"/>
      <c r="AE48" s="430"/>
      <c r="AF48" s="467"/>
      <c r="AG48" s="458"/>
      <c r="AH48" s="745"/>
      <c r="AI48" s="511"/>
      <c r="AJ48" s="746"/>
      <c r="AK48" s="747"/>
      <c r="AL48" s="757"/>
      <c r="AM48" s="340">
        <f t="shared" si="4"/>
        <v>0</v>
      </c>
      <c r="AN48" s="340">
        <f t="shared" si="5"/>
        <v>0</v>
      </c>
      <c r="AO48" s="468"/>
      <c r="AP48" s="336">
        <f t="shared" si="12"/>
        <v>0</v>
      </c>
      <c r="AQ48" s="472">
        <v>30406.024000000001</v>
      </c>
      <c r="AR48" s="684">
        <v>319.11319221249403</v>
      </c>
      <c r="AS48" s="441">
        <v>44000</v>
      </c>
      <c r="AT48" s="94" t="s">
        <v>1648</v>
      </c>
      <c r="AU48" s="395" t="s">
        <v>1626</v>
      </c>
    </row>
    <row r="49" spans="1:47" ht="131.25" x14ac:dyDescent="0.25">
      <c r="A49" s="8">
        <v>40</v>
      </c>
      <c r="B49" s="9"/>
      <c r="C49" s="98" t="s">
        <v>135</v>
      </c>
      <c r="D49" s="18" t="s">
        <v>136</v>
      </c>
      <c r="E49" s="10" t="s">
        <v>1438</v>
      </c>
      <c r="F49" s="19">
        <v>6510700000</v>
      </c>
      <c r="G49" s="19" t="s">
        <v>138</v>
      </c>
      <c r="H49" s="19" t="s">
        <v>2894</v>
      </c>
      <c r="I49" s="75" t="s">
        <v>2861</v>
      </c>
      <c r="J49" s="33" t="s">
        <v>2871</v>
      </c>
      <c r="K49" s="62" t="s">
        <v>2863</v>
      </c>
      <c r="L49" s="33" t="s">
        <v>2872</v>
      </c>
      <c r="M49" s="60" t="s">
        <v>2870</v>
      </c>
      <c r="N49" s="33"/>
      <c r="O49" s="10" t="s">
        <v>8</v>
      </c>
      <c r="P49" s="90">
        <v>1.2500000000000001E-2</v>
      </c>
      <c r="Q49" s="12">
        <f>R49/125</f>
        <v>512.91</v>
      </c>
      <c r="R49" s="12">
        <v>64113.75</v>
      </c>
      <c r="S49" s="80" t="s">
        <v>2215</v>
      </c>
      <c r="T49" s="371"/>
      <c r="U49" s="332">
        <f t="shared" si="13"/>
        <v>7693.65</v>
      </c>
      <c r="V49" s="333">
        <f t="shared" si="14"/>
        <v>7693.65</v>
      </c>
      <c r="W49" s="333">
        <v>12</v>
      </c>
      <c r="X49" s="333">
        <f t="shared" si="15"/>
        <v>61.549199999999999</v>
      </c>
      <c r="Y49" s="334">
        <f t="shared" si="11"/>
        <v>641.13749999999993</v>
      </c>
      <c r="Z49" s="807"/>
      <c r="AA49" s="711"/>
      <c r="AB49" s="340"/>
      <c r="AC49" s="406"/>
      <c r="AD49" s="459"/>
      <c r="AE49" s="421"/>
      <c r="AF49" s="463"/>
      <c r="AG49" s="459"/>
      <c r="AH49" s="503"/>
      <c r="AI49" s="340"/>
      <c r="AJ49" s="740"/>
      <c r="AK49" s="741"/>
      <c r="AL49" s="732"/>
      <c r="AM49" s="340">
        <f t="shared" si="4"/>
        <v>0</v>
      </c>
      <c r="AN49" s="340">
        <f t="shared" si="5"/>
        <v>0</v>
      </c>
      <c r="AO49" s="468"/>
      <c r="AP49" s="333">
        <f t="shared" si="12"/>
        <v>0</v>
      </c>
      <c r="AQ49" s="192">
        <v>641.13749999999993</v>
      </c>
      <c r="AR49" s="194">
        <v>8.3333333333333321</v>
      </c>
      <c r="AS49" s="443">
        <v>44000</v>
      </c>
      <c r="AT49" s="17" t="s">
        <v>1649</v>
      </c>
      <c r="AU49" s="3" t="s">
        <v>1626</v>
      </c>
    </row>
    <row r="50" spans="1:47" ht="112.5" x14ac:dyDescent="0.25">
      <c r="A50" s="8">
        <v>41</v>
      </c>
      <c r="B50" s="9"/>
      <c r="C50" s="99" t="s">
        <v>135</v>
      </c>
      <c r="D50" s="18" t="s">
        <v>136</v>
      </c>
      <c r="E50" s="10" t="s">
        <v>1438</v>
      </c>
      <c r="F50" s="19">
        <v>6510700000</v>
      </c>
      <c r="G50" s="19" t="s">
        <v>139</v>
      </c>
      <c r="H50" s="19" t="s">
        <v>2896</v>
      </c>
      <c r="I50" s="75" t="s">
        <v>2861</v>
      </c>
      <c r="J50" s="29" t="s">
        <v>2868</v>
      </c>
      <c r="K50" s="13" t="s">
        <v>2863</v>
      </c>
      <c r="L50" s="29" t="s">
        <v>2867</v>
      </c>
      <c r="M50" s="20">
        <v>42576</v>
      </c>
      <c r="N50" s="29"/>
      <c r="O50" s="29" t="s">
        <v>8</v>
      </c>
      <c r="P50" s="90">
        <v>1.83E-2</v>
      </c>
      <c r="Q50" s="12">
        <f>R50/183</f>
        <v>419.96</v>
      </c>
      <c r="R50" s="12">
        <v>76852.679999999993</v>
      </c>
      <c r="S50" s="80" t="s">
        <v>2211</v>
      </c>
      <c r="T50" s="371"/>
      <c r="U50" s="332">
        <f t="shared" si="13"/>
        <v>9222.3215999999993</v>
      </c>
      <c r="V50" s="333">
        <f t="shared" si="14"/>
        <v>9222.3215999999993</v>
      </c>
      <c r="W50" s="333">
        <v>12</v>
      </c>
      <c r="X50" s="333">
        <f t="shared" si="15"/>
        <v>50.395199999999996</v>
      </c>
      <c r="Y50" s="334">
        <f t="shared" si="11"/>
        <v>768.52679999999998</v>
      </c>
      <c r="Z50" s="807"/>
      <c r="AA50" s="711"/>
      <c r="AB50" s="340"/>
      <c r="AC50" s="406"/>
      <c r="AD50" s="459"/>
      <c r="AE50" s="421"/>
      <c r="AF50" s="463"/>
      <c r="AG50" s="459"/>
      <c r="AH50" s="503"/>
      <c r="AI50" s="340"/>
      <c r="AJ50" s="740"/>
      <c r="AK50" s="741"/>
      <c r="AL50" s="732"/>
      <c r="AM50" s="340"/>
      <c r="AN50" s="340">
        <f t="shared" si="5"/>
        <v>0</v>
      </c>
      <c r="AO50" s="468"/>
      <c r="AP50" s="333">
        <f t="shared" si="12"/>
        <v>0</v>
      </c>
      <c r="AQ50" s="192">
        <v>9222.32</v>
      </c>
      <c r="AR50" s="194">
        <v>99.999982650789377</v>
      </c>
      <c r="AS50" s="443">
        <v>44000</v>
      </c>
      <c r="AT50" s="30" t="s">
        <v>1650</v>
      </c>
      <c r="AU50" s="3" t="s">
        <v>1626</v>
      </c>
    </row>
    <row r="51" spans="1:47" ht="112.5" x14ac:dyDescent="0.25">
      <c r="A51" s="8">
        <v>42</v>
      </c>
      <c r="B51" s="9"/>
      <c r="C51" s="100" t="s">
        <v>135</v>
      </c>
      <c r="D51" s="18" t="s">
        <v>136</v>
      </c>
      <c r="E51" s="10" t="s">
        <v>1438</v>
      </c>
      <c r="F51" s="19">
        <v>6510700000</v>
      </c>
      <c r="G51" s="19" t="s">
        <v>140</v>
      </c>
      <c r="H51" s="19" t="s">
        <v>2873</v>
      </c>
      <c r="I51" s="75" t="s">
        <v>2861</v>
      </c>
      <c r="J51" s="9" t="s">
        <v>2874</v>
      </c>
      <c r="K51" s="13" t="s">
        <v>2863</v>
      </c>
      <c r="L51" s="9" t="s">
        <v>2875</v>
      </c>
      <c r="M51" s="20" t="s">
        <v>2870</v>
      </c>
      <c r="N51" s="9"/>
      <c r="O51" s="9" t="s">
        <v>8</v>
      </c>
      <c r="P51" s="90">
        <v>1.38E-2</v>
      </c>
      <c r="Q51" s="12">
        <f>R51/138</f>
        <v>370.38</v>
      </c>
      <c r="R51" s="12">
        <v>51112.44</v>
      </c>
      <c r="S51" s="80" t="s">
        <v>2213</v>
      </c>
      <c r="T51" s="371"/>
      <c r="U51" s="332">
        <f t="shared" si="13"/>
        <v>6133.4928</v>
      </c>
      <c r="V51" s="333">
        <f t="shared" si="14"/>
        <v>6133.4928</v>
      </c>
      <c r="W51" s="333">
        <v>12</v>
      </c>
      <c r="X51" s="333">
        <f t="shared" si="15"/>
        <v>44.445599999999999</v>
      </c>
      <c r="Y51" s="334">
        <f t="shared" si="11"/>
        <v>511.12439999999998</v>
      </c>
      <c r="Z51" s="807"/>
      <c r="AA51" s="711"/>
      <c r="AB51" s="340"/>
      <c r="AC51" s="406"/>
      <c r="AD51" s="459"/>
      <c r="AE51" s="421"/>
      <c r="AF51" s="463"/>
      <c r="AG51" s="459"/>
      <c r="AH51" s="503"/>
      <c r="AI51" s="340"/>
      <c r="AJ51" s="740"/>
      <c r="AK51" s="741"/>
      <c r="AL51" s="732"/>
      <c r="AM51" s="340">
        <f t="shared" si="4"/>
        <v>0</v>
      </c>
      <c r="AN51" s="340">
        <f t="shared" si="5"/>
        <v>0</v>
      </c>
      <c r="AO51" s="468"/>
      <c r="AP51" s="333">
        <f t="shared" si="12"/>
        <v>0</v>
      </c>
      <c r="AQ51" s="192">
        <v>6133.49</v>
      </c>
      <c r="AR51" s="194">
        <v>99.999954349013009</v>
      </c>
      <c r="AS51" s="443">
        <v>44000</v>
      </c>
      <c r="AT51" s="35" t="s">
        <v>1651</v>
      </c>
      <c r="AU51" s="3" t="s">
        <v>1626</v>
      </c>
    </row>
    <row r="52" spans="1:47" ht="112.5" x14ac:dyDescent="0.25">
      <c r="A52" s="8">
        <v>43</v>
      </c>
      <c r="B52" s="9"/>
      <c r="C52" s="99" t="s">
        <v>135</v>
      </c>
      <c r="D52" s="18" t="s">
        <v>136</v>
      </c>
      <c r="E52" s="10" t="s">
        <v>1438</v>
      </c>
      <c r="F52" s="19">
        <v>6510700000</v>
      </c>
      <c r="G52" s="19" t="s">
        <v>141</v>
      </c>
      <c r="H52" s="19" t="s">
        <v>142</v>
      </c>
      <c r="I52" s="75" t="s">
        <v>2861</v>
      </c>
      <c r="J52" s="9" t="s">
        <v>2890</v>
      </c>
      <c r="K52" s="62" t="s">
        <v>2863</v>
      </c>
      <c r="L52" s="36" t="s">
        <v>2891</v>
      </c>
      <c r="M52" s="60" t="s">
        <v>2870</v>
      </c>
      <c r="N52" s="36"/>
      <c r="O52" s="29" t="s">
        <v>8</v>
      </c>
      <c r="P52" s="90">
        <v>8.0999999999999996E-3</v>
      </c>
      <c r="Q52" s="12">
        <f>R52/81</f>
        <v>170.42000000000002</v>
      </c>
      <c r="R52" s="12">
        <v>13804.02</v>
      </c>
      <c r="S52" s="80" t="s">
        <v>2216</v>
      </c>
      <c r="T52" s="371"/>
      <c r="U52" s="332">
        <f t="shared" si="13"/>
        <v>1656.4824000000001</v>
      </c>
      <c r="V52" s="333">
        <f t="shared" si="14"/>
        <v>1656.4824000000001</v>
      </c>
      <c r="W52" s="333">
        <v>12</v>
      </c>
      <c r="X52" s="333">
        <f t="shared" si="15"/>
        <v>20.450400000000002</v>
      </c>
      <c r="Y52" s="334">
        <f t="shared" si="11"/>
        <v>138.0402</v>
      </c>
      <c r="Z52" s="807"/>
      <c r="AA52" s="711"/>
      <c r="AB52" s="340"/>
      <c r="AC52" s="406"/>
      <c r="AD52" s="459"/>
      <c r="AE52" s="421"/>
      <c r="AF52" s="463"/>
      <c r="AG52" s="459"/>
      <c r="AH52" s="503"/>
      <c r="AI52" s="340"/>
      <c r="AJ52" s="740"/>
      <c r="AK52" s="741"/>
      <c r="AL52" s="732"/>
      <c r="AM52" s="340">
        <f t="shared" si="4"/>
        <v>0</v>
      </c>
      <c r="AN52" s="340">
        <f t="shared" si="5"/>
        <v>0</v>
      </c>
      <c r="AO52" s="468"/>
      <c r="AP52" s="333">
        <f t="shared" si="12"/>
        <v>0</v>
      </c>
      <c r="AQ52" s="192">
        <v>1656.48</v>
      </c>
      <c r="AR52" s="194">
        <v>99.999855114669487</v>
      </c>
      <c r="AS52" s="443">
        <v>44000</v>
      </c>
      <c r="AT52" s="30" t="s">
        <v>1652</v>
      </c>
      <c r="AU52" s="3" t="s">
        <v>1626</v>
      </c>
    </row>
    <row r="53" spans="1:47" ht="112.5" x14ac:dyDescent="0.25">
      <c r="A53" s="8">
        <v>44</v>
      </c>
      <c r="B53" s="9"/>
      <c r="C53" s="99" t="s">
        <v>135</v>
      </c>
      <c r="D53" s="18" t="s">
        <v>136</v>
      </c>
      <c r="E53" s="10" t="s">
        <v>1438</v>
      </c>
      <c r="F53" s="19">
        <v>6510700000</v>
      </c>
      <c r="G53" s="19" t="s">
        <v>143</v>
      </c>
      <c r="H53" s="19" t="s">
        <v>2887</v>
      </c>
      <c r="I53" s="75" t="s">
        <v>2861</v>
      </c>
      <c r="J53" s="36" t="s">
        <v>2888</v>
      </c>
      <c r="K53" s="62" t="s">
        <v>2863</v>
      </c>
      <c r="L53" s="36" t="s">
        <v>2889</v>
      </c>
      <c r="M53" s="60" t="s">
        <v>2870</v>
      </c>
      <c r="N53" s="36"/>
      <c r="O53" s="29" t="s">
        <v>8</v>
      </c>
      <c r="P53" s="90">
        <v>1.12E-2</v>
      </c>
      <c r="Q53" s="12">
        <f>R53/112</f>
        <v>242.1</v>
      </c>
      <c r="R53" s="12">
        <v>27115.200000000001</v>
      </c>
      <c r="S53" s="80" t="s">
        <v>2219</v>
      </c>
      <c r="T53" s="371"/>
      <c r="U53" s="332">
        <f t="shared" si="13"/>
        <v>3253.8240000000001</v>
      </c>
      <c r="V53" s="333">
        <f t="shared" si="14"/>
        <v>3253.8240000000001</v>
      </c>
      <c r="W53" s="333">
        <v>12</v>
      </c>
      <c r="X53" s="333">
        <f t="shared" si="15"/>
        <v>29.052</v>
      </c>
      <c r="Y53" s="334">
        <f t="shared" si="11"/>
        <v>271.15199999999999</v>
      </c>
      <c r="Z53" s="807"/>
      <c r="AA53" s="711"/>
      <c r="AB53" s="340"/>
      <c r="AC53" s="406"/>
      <c r="AD53" s="459"/>
      <c r="AE53" s="421"/>
      <c r="AF53" s="463"/>
      <c r="AG53" s="459"/>
      <c r="AH53" s="503"/>
      <c r="AI53" s="340"/>
      <c r="AJ53" s="740"/>
      <c r="AK53" s="741"/>
      <c r="AL53" s="732"/>
      <c r="AM53" s="340">
        <f t="shared" si="4"/>
        <v>0</v>
      </c>
      <c r="AN53" s="340">
        <f t="shared" si="5"/>
        <v>0</v>
      </c>
      <c r="AO53" s="468"/>
      <c r="AP53" s="333">
        <f t="shared" si="12"/>
        <v>0</v>
      </c>
      <c r="AQ53" s="192">
        <v>3253.82</v>
      </c>
      <c r="AR53" s="194">
        <v>99.999877067720931</v>
      </c>
      <c r="AS53" s="443">
        <v>44000</v>
      </c>
      <c r="AT53" s="30" t="s">
        <v>1653</v>
      </c>
      <c r="AU53" s="3" t="s">
        <v>1626</v>
      </c>
    </row>
    <row r="54" spans="1:47" ht="112.5" x14ac:dyDescent="0.25">
      <c r="A54" s="8">
        <v>45</v>
      </c>
      <c r="B54" s="9"/>
      <c r="C54" s="99" t="s">
        <v>135</v>
      </c>
      <c r="D54" s="18" t="s">
        <v>136</v>
      </c>
      <c r="E54" s="10" t="s">
        <v>1438</v>
      </c>
      <c r="F54" s="19">
        <v>6510700000</v>
      </c>
      <c r="G54" s="19" t="s">
        <v>144</v>
      </c>
      <c r="H54" s="19" t="s">
        <v>2884</v>
      </c>
      <c r="I54" s="75" t="s">
        <v>2861</v>
      </c>
      <c r="J54" s="9" t="s">
        <v>2885</v>
      </c>
      <c r="K54" s="13" t="s">
        <v>2863</v>
      </c>
      <c r="L54" s="29" t="s">
        <v>2886</v>
      </c>
      <c r="M54" s="20" t="s">
        <v>2870</v>
      </c>
      <c r="N54" s="29"/>
      <c r="O54" s="29" t="s">
        <v>8</v>
      </c>
      <c r="P54" s="90">
        <v>1.78E-2</v>
      </c>
      <c r="Q54" s="12">
        <f>R54/178</f>
        <v>277.27</v>
      </c>
      <c r="R54" s="12">
        <v>49354.06</v>
      </c>
      <c r="S54" s="80" t="s">
        <v>2214</v>
      </c>
      <c r="T54" s="371"/>
      <c r="U54" s="332">
        <f t="shared" si="13"/>
        <v>5922.4871999999996</v>
      </c>
      <c r="V54" s="333">
        <f t="shared" si="14"/>
        <v>5922.4871999999996</v>
      </c>
      <c r="W54" s="333">
        <v>12</v>
      </c>
      <c r="X54" s="333">
        <f t="shared" si="15"/>
        <v>33.272399999999998</v>
      </c>
      <c r="Y54" s="334">
        <f t="shared" si="11"/>
        <v>493.54059999999998</v>
      </c>
      <c r="Z54" s="807"/>
      <c r="AA54" s="711"/>
      <c r="AB54" s="340"/>
      <c r="AC54" s="406"/>
      <c r="AD54" s="459"/>
      <c r="AE54" s="421"/>
      <c r="AF54" s="463"/>
      <c r="AG54" s="459"/>
      <c r="AH54" s="503"/>
      <c r="AI54" s="340"/>
      <c r="AJ54" s="740"/>
      <c r="AK54" s="741"/>
      <c r="AL54" s="732"/>
      <c r="AM54" s="340">
        <f t="shared" si="4"/>
        <v>0</v>
      </c>
      <c r="AN54" s="340">
        <f t="shared" si="5"/>
        <v>0</v>
      </c>
      <c r="AO54" s="468"/>
      <c r="AP54" s="333">
        <f t="shared" si="12"/>
        <v>0</v>
      </c>
      <c r="AQ54" s="192">
        <v>3047.17</v>
      </c>
      <c r="AR54" s="194">
        <v>51.450849906437959</v>
      </c>
      <c r="AS54" s="443">
        <v>44000</v>
      </c>
      <c r="AT54" s="30" t="s">
        <v>1654</v>
      </c>
      <c r="AU54" s="3" t="s">
        <v>1626</v>
      </c>
    </row>
    <row r="55" spans="1:47" ht="112.5" x14ac:dyDescent="0.25">
      <c r="A55" s="8">
        <v>46</v>
      </c>
      <c r="B55" s="9"/>
      <c r="C55" s="99" t="s">
        <v>135</v>
      </c>
      <c r="D55" s="18" t="s">
        <v>136</v>
      </c>
      <c r="E55" s="10" t="s">
        <v>1438</v>
      </c>
      <c r="F55" s="19">
        <v>6510700000</v>
      </c>
      <c r="G55" s="19" t="s">
        <v>145</v>
      </c>
      <c r="H55" s="19" t="s">
        <v>2878</v>
      </c>
      <c r="I55" s="75" t="s">
        <v>2861</v>
      </c>
      <c r="J55" s="9" t="s">
        <v>2879</v>
      </c>
      <c r="K55" s="75" t="s">
        <v>2880</v>
      </c>
      <c r="L55" s="36" t="s">
        <v>2881</v>
      </c>
      <c r="M55" s="60">
        <v>42571</v>
      </c>
      <c r="N55" s="36"/>
      <c r="O55" s="29" t="s">
        <v>8</v>
      </c>
      <c r="P55" s="90">
        <v>1.3299999999999999E-2</v>
      </c>
      <c r="Q55" s="12">
        <f>R55/133</f>
        <v>207.56</v>
      </c>
      <c r="R55" s="12">
        <v>27605.48</v>
      </c>
      <c r="S55" s="80" t="s">
        <v>2210</v>
      </c>
      <c r="T55" s="371"/>
      <c r="U55" s="332">
        <f t="shared" si="13"/>
        <v>3312.6576</v>
      </c>
      <c r="V55" s="333">
        <f t="shared" si="14"/>
        <v>3312.6576</v>
      </c>
      <c r="W55" s="333">
        <v>12</v>
      </c>
      <c r="X55" s="333">
        <f t="shared" si="15"/>
        <v>24.9072</v>
      </c>
      <c r="Y55" s="334">
        <f t="shared" si="11"/>
        <v>276.0548</v>
      </c>
      <c r="Z55" s="807"/>
      <c r="AA55" s="711"/>
      <c r="AB55" s="340"/>
      <c r="AC55" s="406"/>
      <c r="AD55" s="459"/>
      <c r="AE55" s="421"/>
      <c r="AF55" s="463"/>
      <c r="AG55" s="459"/>
      <c r="AH55" s="503"/>
      <c r="AI55" s="340"/>
      <c r="AJ55" s="740"/>
      <c r="AK55" s="741"/>
      <c r="AL55" s="732"/>
      <c r="AM55" s="340">
        <f t="shared" si="4"/>
        <v>0</v>
      </c>
      <c r="AN55" s="340">
        <f t="shared" si="5"/>
        <v>0</v>
      </c>
      <c r="AO55" s="468"/>
      <c r="AP55" s="333">
        <f t="shared" si="12"/>
        <v>0</v>
      </c>
      <c r="AQ55" s="192">
        <v>0</v>
      </c>
      <c r="AR55" s="194">
        <v>0</v>
      </c>
      <c r="AS55" s="443">
        <v>44000</v>
      </c>
      <c r="AT55" s="30" t="s">
        <v>1655</v>
      </c>
      <c r="AU55" s="3" t="s">
        <v>1626</v>
      </c>
    </row>
    <row r="56" spans="1:47" ht="112.5" x14ac:dyDescent="0.25">
      <c r="A56" s="8">
        <v>47</v>
      </c>
      <c r="B56" s="9"/>
      <c r="C56" s="100" t="s">
        <v>135</v>
      </c>
      <c r="D56" s="18" t="s">
        <v>136</v>
      </c>
      <c r="E56" s="10" t="s">
        <v>1438</v>
      </c>
      <c r="F56" s="19">
        <v>6510700000</v>
      </c>
      <c r="G56" s="19" t="s">
        <v>146</v>
      </c>
      <c r="H56" s="19" t="s">
        <v>2897</v>
      </c>
      <c r="I56" s="75" t="s">
        <v>2861</v>
      </c>
      <c r="J56" s="33" t="s">
        <v>2892</v>
      </c>
      <c r="K56" s="13" t="s">
        <v>2863</v>
      </c>
      <c r="L56" s="33" t="s">
        <v>2893</v>
      </c>
      <c r="M56" s="13" t="s">
        <v>2869</v>
      </c>
      <c r="N56" s="33"/>
      <c r="O56" s="10" t="s">
        <v>8</v>
      </c>
      <c r="P56" s="90">
        <v>3.5499999999999997E-2</v>
      </c>
      <c r="Q56" s="12">
        <f>R56/355</f>
        <v>145.59</v>
      </c>
      <c r="R56" s="12">
        <v>51684.45</v>
      </c>
      <c r="S56" s="80" t="s">
        <v>2218</v>
      </c>
      <c r="T56" s="371"/>
      <c r="U56" s="332">
        <f t="shared" si="13"/>
        <v>6202.1339999999991</v>
      </c>
      <c r="V56" s="333">
        <f t="shared" si="14"/>
        <v>6202.1339999999991</v>
      </c>
      <c r="W56" s="333">
        <v>12</v>
      </c>
      <c r="X56" s="333">
        <f t="shared" si="15"/>
        <v>17.470800000000001</v>
      </c>
      <c r="Y56" s="334">
        <f t="shared" si="11"/>
        <v>516.84449999999993</v>
      </c>
      <c r="Z56" s="807"/>
      <c r="AA56" s="711"/>
      <c r="AB56" s="340"/>
      <c r="AC56" s="406"/>
      <c r="AD56" s="459"/>
      <c r="AE56" s="421"/>
      <c r="AF56" s="463"/>
      <c r="AG56" s="459"/>
      <c r="AH56" s="503"/>
      <c r="AI56" s="340"/>
      <c r="AJ56" s="740"/>
      <c r="AK56" s="741"/>
      <c r="AL56" s="732"/>
      <c r="AM56" s="340">
        <f t="shared" si="4"/>
        <v>0</v>
      </c>
      <c r="AN56" s="340">
        <f t="shared" si="5"/>
        <v>0</v>
      </c>
      <c r="AO56" s="468"/>
      <c r="AP56" s="333">
        <f t="shared" si="12"/>
        <v>0</v>
      </c>
      <c r="AQ56" s="192">
        <v>0</v>
      </c>
      <c r="AR56" s="194">
        <v>0</v>
      </c>
      <c r="AS56" s="443">
        <v>44000</v>
      </c>
      <c r="AT56" s="31" t="s">
        <v>1656</v>
      </c>
      <c r="AU56" s="2" t="s">
        <v>1626</v>
      </c>
    </row>
    <row r="57" spans="1:47" ht="112.5" x14ac:dyDescent="0.25">
      <c r="A57" s="8">
        <v>48</v>
      </c>
      <c r="B57" s="8"/>
      <c r="C57" s="305" t="s">
        <v>135</v>
      </c>
      <c r="D57" s="14" t="s">
        <v>136</v>
      </c>
      <c r="E57" s="14" t="s">
        <v>1438</v>
      </c>
      <c r="F57" s="16">
        <v>6510700000</v>
      </c>
      <c r="G57" s="16" t="s">
        <v>147</v>
      </c>
      <c r="H57" s="16" t="s">
        <v>2898</v>
      </c>
      <c r="I57" s="81" t="s">
        <v>2861</v>
      </c>
      <c r="J57" s="9" t="s">
        <v>2882</v>
      </c>
      <c r="K57" s="62" t="s">
        <v>2863</v>
      </c>
      <c r="L57" s="14" t="s">
        <v>2883</v>
      </c>
      <c r="M57" s="65">
        <v>42571</v>
      </c>
      <c r="N57" s="14"/>
      <c r="O57" s="14" t="s">
        <v>8</v>
      </c>
      <c r="P57" s="87">
        <v>0.16289999999999999</v>
      </c>
      <c r="Q57" s="88">
        <f>R57/1629</f>
        <v>335.23999999999995</v>
      </c>
      <c r="R57" s="68">
        <v>546105.96</v>
      </c>
      <c r="S57" s="105" t="s">
        <v>2212</v>
      </c>
      <c r="T57" s="367"/>
      <c r="U57" s="332">
        <f t="shared" si="13"/>
        <v>65532.715199999991</v>
      </c>
      <c r="V57" s="332">
        <f t="shared" si="14"/>
        <v>65532.715199999991</v>
      </c>
      <c r="W57" s="332">
        <v>12</v>
      </c>
      <c r="X57" s="332">
        <f t="shared" si="15"/>
        <v>40.228799999999993</v>
      </c>
      <c r="Y57" s="341">
        <f t="shared" si="11"/>
        <v>5461.0595999999996</v>
      </c>
      <c r="Z57" s="840"/>
      <c r="AA57" s="741">
        <v>59230</v>
      </c>
      <c r="AB57" s="342"/>
      <c r="AC57" s="406"/>
      <c r="AD57" s="459"/>
      <c r="AE57" s="421"/>
      <c r="AF57" s="463"/>
      <c r="AG57" s="459"/>
      <c r="AH57" s="503"/>
      <c r="AI57" s="342"/>
      <c r="AJ57" s="740"/>
      <c r="AK57" s="741"/>
      <c r="AL57" s="758"/>
      <c r="AM57" s="340">
        <f t="shared" si="4"/>
        <v>59230</v>
      </c>
      <c r="AN57" s="340">
        <f t="shared" si="5"/>
        <v>59230</v>
      </c>
      <c r="AO57" s="468"/>
      <c r="AP57" s="332">
        <f t="shared" si="12"/>
        <v>90.382337767076081</v>
      </c>
      <c r="AQ57" s="392">
        <v>65532.72</v>
      </c>
      <c r="AR57" s="460">
        <v>100.00000732458588</v>
      </c>
      <c r="AS57" s="308">
        <v>44000</v>
      </c>
      <c r="AT57" s="89" t="s">
        <v>1657</v>
      </c>
      <c r="AU57" s="395" t="s">
        <v>1626</v>
      </c>
    </row>
    <row r="58" spans="1:47" ht="18.75" x14ac:dyDescent="0.25">
      <c r="A58" s="1119"/>
      <c r="B58" s="1119"/>
      <c r="C58" s="1192"/>
      <c r="D58" s="1131"/>
      <c r="E58" s="1131"/>
      <c r="F58" s="1132"/>
      <c r="G58" s="1132"/>
      <c r="H58" s="1132"/>
      <c r="I58" s="1133"/>
      <c r="J58" s="423"/>
      <c r="K58" s="1134"/>
      <c r="L58" s="1131"/>
      <c r="M58" s="630"/>
      <c r="N58" s="1131"/>
      <c r="O58" s="1131"/>
      <c r="P58" s="1193"/>
      <c r="Q58" s="1194"/>
      <c r="R58" s="163"/>
      <c r="S58" s="1130"/>
      <c r="T58" s="1125"/>
      <c r="U58" s="341"/>
      <c r="V58" s="1189">
        <f>V48+V49+V50+V51+V52+V53+V54+V55+V56+V57</f>
        <v>118458.05279999999</v>
      </c>
      <c r="W58" s="1189"/>
      <c r="X58" s="1189"/>
      <c r="Y58" s="1189">
        <f t="shared" si="11"/>
        <v>9871.5043999999998</v>
      </c>
      <c r="Z58" s="1162"/>
      <c r="AA58" s="1190"/>
      <c r="AB58" s="1195"/>
      <c r="AC58" s="1196"/>
      <c r="AD58" s="1197"/>
      <c r="AE58" s="1198"/>
      <c r="AF58" s="1191"/>
      <c r="AG58" s="1197"/>
      <c r="AH58" s="1199"/>
      <c r="AI58" s="1190"/>
      <c r="AJ58" s="1200"/>
      <c r="AK58" s="1190"/>
      <c r="AL58" s="1201"/>
      <c r="AM58" s="1202">
        <f>AM48+AM49+AM50+AM51+AM52+AM53+AM54+AM55+AM56+AM57</f>
        <v>59230</v>
      </c>
      <c r="AN58" s="1202"/>
      <c r="AO58" s="1190">
        <f>(Y58*3)-AM58</f>
        <v>-29615.486799999999</v>
      </c>
      <c r="AP58" s="1189">
        <f t="shared" ref="AP58:AP77" si="16">AM58*100/V58</f>
        <v>50.000821894313631</v>
      </c>
      <c r="AQ58" s="1140"/>
      <c r="AR58" s="1141"/>
      <c r="AS58" s="1142"/>
      <c r="AT58" s="1203"/>
      <c r="AU58" s="1204"/>
    </row>
    <row r="59" spans="1:47" ht="131.25" x14ac:dyDescent="0.25">
      <c r="A59" s="8">
        <v>49</v>
      </c>
      <c r="B59" s="8">
        <v>13</v>
      </c>
      <c r="C59" s="97" t="s">
        <v>150</v>
      </c>
      <c r="D59" s="14" t="s">
        <v>148</v>
      </c>
      <c r="E59" s="14">
        <v>24948713</v>
      </c>
      <c r="F59" s="16">
        <v>6510700000</v>
      </c>
      <c r="G59" s="16" t="s">
        <v>149</v>
      </c>
      <c r="H59" s="16" t="s">
        <v>2706</v>
      </c>
      <c r="I59" s="81"/>
      <c r="J59" s="62" t="s">
        <v>2644</v>
      </c>
      <c r="K59" s="62" t="s">
        <v>3418</v>
      </c>
      <c r="L59" s="62"/>
      <c r="M59" s="65">
        <v>41592</v>
      </c>
      <c r="N59" s="62"/>
      <c r="O59" s="14" t="s">
        <v>8</v>
      </c>
      <c r="P59" s="90">
        <v>0.25580000000000003</v>
      </c>
      <c r="Q59" s="68">
        <f>R59/2558</f>
        <v>366.51</v>
      </c>
      <c r="R59" s="68">
        <v>937532.58</v>
      </c>
      <c r="S59" s="68" t="s">
        <v>3376</v>
      </c>
      <c r="T59" s="367"/>
      <c r="U59" s="336">
        <f t="shared" si="13"/>
        <v>28125.977399999996</v>
      </c>
      <c r="V59" s="337">
        <f t="shared" si="14"/>
        <v>28125.977399999996</v>
      </c>
      <c r="W59" s="337">
        <v>3</v>
      </c>
      <c r="X59" s="337">
        <f t="shared" si="15"/>
        <v>10.995299999999997</v>
      </c>
      <c r="Y59" s="338">
        <f t="shared" si="11"/>
        <v>2343.8314499999997</v>
      </c>
      <c r="Z59" s="807"/>
      <c r="AA59" s="743">
        <v>3483.17</v>
      </c>
      <c r="AB59" s="383">
        <v>3352.85</v>
      </c>
      <c r="AC59" s="464"/>
      <c r="AD59" s="458">
        <v>2936.55</v>
      </c>
      <c r="AE59" s="430"/>
      <c r="AF59" s="467"/>
      <c r="AG59" s="458"/>
      <c r="AH59" s="745"/>
      <c r="AI59" s="396"/>
      <c r="AJ59" s="744"/>
      <c r="AK59" s="747"/>
      <c r="AL59" s="748"/>
      <c r="AM59" s="340">
        <f t="shared" si="4"/>
        <v>9772.57</v>
      </c>
      <c r="AN59" s="340">
        <f t="shared" si="5"/>
        <v>9772.57</v>
      </c>
      <c r="AO59" s="468"/>
      <c r="AP59" s="337">
        <f t="shared" si="16"/>
        <v>34.745708072708616</v>
      </c>
      <c r="AQ59" s="392">
        <v>16354.16</v>
      </c>
      <c r="AR59" s="684">
        <v>107.88805996960558</v>
      </c>
      <c r="AS59" s="308">
        <v>44252</v>
      </c>
      <c r="AT59" s="91" t="s">
        <v>1659</v>
      </c>
      <c r="AU59" s="62" t="s">
        <v>1660</v>
      </c>
    </row>
    <row r="60" spans="1:47" ht="243.75" x14ac:dyDescent="0.25">
      <c r="A60" s="8">
        <v>50</v>
      </c>
      <c r="B60" s="115"/>
      <c r="C60" s="119" t="s">
        <v>150</v>
      </c>
      <c r="D60" s="109" t="s">
        <v>151</v>
      </c>
      <c r="E60" s="113" t="s">
        <v>1439</v>
      </c>
      <c r="F60" s="110">
        <v>6510700000</v>
      </c>
      <c r="G60" s="110" t="s">
        <v>152</v>
      </c>
      <c r="H60" s="110" t="s">
        <v>153</v>
      </c>
      <c r="I60" s="111" t="s">
        <v>154</v>
      </c>
      <c r="J60" s="113" t="s">
        <v>2643</v>
      </c>
      <c r="K60" s="127" t="s">
        <v>1440</v>
      </c>
      <c r="L60" s="127" t="s">
        <v>155</v>
      </c>
      <c r="M60" s="129" t="s">
        <v>1441</v>
      </c>
      <c r="N60" s="127"/>
      <c r="O60" s="109" t="s">
        <v>8</v>
      </c>
      <c r="P60" s="114">
        <v>3.7100000000000001E-2</v>
      </c>
      <c r="Q60" s="107">
        <v>109.94</v>
      </c>
      <c r="R60" s="107">
        <v>40787.74</v>
      </c>
      <c r="S60" s="107" t="s">
        <v>156</v>
      </c>
      <c r="T60" s="369"/>
      <c r="U60" s="332">
        <f t="shared" si="13"/>
        <v>1223.6321999999998</v>
      </c>
      <c r="V60" s="333">
        <f t="shared" si="14"/>
        <v>1223.6321999999998</v>
      </c>
      <c r="W60" s="333">
        <v>3</v>
      </c>
      <c r="X60" s="333">
        <f t="shared" si="15"/>
        <v>3.2981999999999996</v>
      </c>
      <c r="Y60" s="334">
        <f t="shared" si="11"/>
        <v>101.96934999999998</v>
      </c>
      <c r="Z60" s="807"/>
      <c r="AA60" s="711"/>
      <c r="AB60" s="340"/>
      <c r="AC60" s="406"/>
      <c r="AD60" s="1112"/>
      <c r="AE60" s="421"/>
      <c r="AF60" s="463"/>
      <c r="AG60" s="459"/>
      <c r="AH60" s="503"/>
      <c r="AI60" s="340"/>
      <c r="AJ60" s="740"/>
      <c r="AK60" s="741"/>
      <c r="AL60" s="732"/>
      <c r="AM60" s="340">
        <f t="shared" si="4"/>
        <v>0</v>
      </c>
      <c r="AN60" s="340">
        <f t="shared" si="5"/>
        <v>0</v>
      </c>
      <c r="AO60" s="468"/>
      <c r="AP60" s="333">
        <f t="shared" si="16"/>
        <v>0</v>
      </c>
      <c r="AQ60" s="521">
        <v>1223.6300000000001</v>
      </c>
      <c r="AR60" s="194">
        <v>99.999820207412029</v>
      </c>
      <c r="AS60" s="444">
        <v>43504</v>
      </c>
      <c r="AT60" s="128" t="s">
        <v>1661</v>
      </c>
      <c r="AU60" s="113" t="s">
        <v>1662</v>
      </c>
    </row>
    <row r="61" spans="1:47" ht="187.5" x14ac:dyDescent="0.25">
      <c r="A61" s="8">
        <v>51</v>
      </c>
      <c r="B61" s="115"/>
      <c r="C61" s="119" t="s">
        <v>150</v>
      </c>
      <c r="D61" s="109" t="s">
        <v>151</v>
      </c>
      <c r="E61" s="113" t="s">
        <v>1439</v>
      </c>
      <c r="F61" s="110">
        <v>6510700000</v>
      </c>
      <c r="G61" s="110" t="s">
        <v>157</v>
      </c>
      <c r="H61" s="110" t="s">
        <v>158</v>
      </c>
      <c r="I61" s="111" t="s">
        <v>159</v>
      </c>
      <c r="J61" s="113" t="s">
        <v>2642</v>
      </c>
      <c r="K61" s="127" t="s">
        <v>1440</v>
      </c>
      <c r="L61" s="127" t="s">
        <v>160</v>
      </c>
      <c r="M61" s="129" t="s">
        <v>1441</v>
      </c>
      <c r="N61" s="127"/>
      <c r="O61" s="109" t="s">
        <v>8</v>
      </c>
      <c r="P61" s="114">
        <v>0.03</v>
      </c>
      <c r="Q61" s="107">
        <v>342.87</v>
      </c>
      <c r="R61" s="107">
        <v>102861</v>
      </c>
      <c r="S61" s="107" t="s">
        <v>161</v>
      </c>
      <c r="T61" s="369"/>
      <c r="U61" s="332">
        <f t="shared" si="13"/>
        <v>3085.83</v>
      </c>
      <c r="V61" s="333">
        <f t="shared" si="14"/>
        <v>3085.83</v>
      </c>
      <c r="W61" s="333">
        <v>3</v>
      </c>
      <c r="X61" s="333">
        <f t="shared" si="15"/>
        <v>10.286099999999999</v>
      </c>
      <c r="Y61" s="334">
        <f t="shared" si="11"/>
        <v>257.15249999999997</v>
      </c>
      <c r="Z61" s="807"/>
      <c r="AA61" s="711"/>
      <c r="AB61" s="340"/>
      <c r="AC61" s="406"/>
      <c r="AD61" s="459"/>
      <c r="AE61" s="421"/>
      <c r="AF61" s="463"/>
      <c r="AG61" s="459"/>
      <c r="AH61" s="503"/>
      <c r="AI61" s="739"/>
      <c r="AJ61" s="749"/>
      <c r="AK61" s="741"/>
      <c r="AL61" s="732"/>
      <c r="AM61" s="340">
        <f t="shared" si="4"/>
        <v>0</v>
      </c>
      <c r="AN61" s="340">
        <f t="shared" si="5"/>
        <v>0</v>
      </c>
      <c r="AO61" s="468"/>
      <c r="AP61" s="333">
        <f t="shared" si="16"/>
        <v>0</v>
      </c>
      <c r="AQ61" s="521">
        <v>5782.23</v>
      </c>
      <c r="AR61" s="194">
        <v>187.38005658121153</v>
      </c>
      <c r="AS61" s="444" t="s">
        <v>2563</v>
      </c>
      <c r="AT61" s="128" t="s">
        <v>1663</v>
      </c>
      <c r="AU61" s="113" t="s">
        <v>1662</v>
      </c>
    </row>
    <row r="62" spans="1:47" ht="337.5" x14ac:dyDescent="0.25">
      <c r="A62" s="8">
        <v>52</v>
      </c>
      <c r="B62" s="115"/>
      <c r="C62" s="119" t="s">
        <v>150</v>
      </c>
      <c r="D62" s="109" t="s">
        <v>151</v>
      </c>
      <c r="E62" s="113" t="s">
        <v>1439</v>
      </c>
      <c r="F62" s="110">
        <v>6510700000</v>
      </c>
      <c r="G62" s="110" t="s">
        <v>162</v>
      </c>
      <c r="H62" s="110" t="s">
        <v>45</v>
      </c>
      <c r="I62" s="111" t="s">
        <v>163</v>
      </c>
      <c r="J62" s="113" t="s">
        <v>2641</v>
      </c>
      <c r="K62" s="127" t="s">
        <v>164</v>
      </c>
      <c r="L62" s="127" t="s">
        <v>165</v>
      </c>
      <c r="M62" s="129" t="s">
        <v>1442</v>
      </c>
      <c r="N62" s="127"/>
      <c r="O62" s="109" t="s">
        <v>8</v>
      </c>
      <c r="P62" s="114">
        <v>2.4E-2</v>
      </c>
      <c r="Q62" s="107">
        <v>198.51</v>
      </c>
      <c r="R62" s="107">
        <v>47642.399999999994</v>
      </c>
      <c r="S62" s="107" t="s">
        <v>166</v>
      </c>
      <c r="T62" s="369"/>
      <c r="U62" s="332">
        <f t="shared" si="13"/>
        <v>1429.2719999999997</v>
      </c>
      <c r="V62" s="333">
        <f t="shared" si="14"/>
        <v>1429.2719999999997</v>
      </c>
      <c r="W62" s="333">
        <v>3</v>
      </c>
      <c r="X62" s="333">
        <f t="shared" si="15"/>
        <v>5.9552999999999985</v>
      </c>
      <c r="Y62" s="334">
        <f t="shared" si="11"/>
        <v>119.10599999999998</v>
      </c>
      <c r="Z62" s="807"/>
      <c r="AA62" s="711"/>
      <c r="AB62" s="340"/>
      <c r="AC62" s="406"/>
      <c r="AD62" s="459"/>
      <c r="AE62" s="421"/>
      <c r="AF62" s="463"/>
      <c r="AG62" s="459"/>
      <c r="AH62" s="503"/>
      <c r="AI62" s="340"/>
      <c r="AJ62" s="740"/>
      <c r="AK62" s="741"/>
      <c r="AL62" s="732"/>
      <c r="AM62" s="340">
        <f t="shared" si="4"/>
        <v>0</v>
      </c>
      <c r="AN62" s="340">
        <f t="shared" si="5"/>
        <v>0</v>
      </c>
      <c r="AO62" s="468"/>
      <c r="AP62" s="333">
        <f t="shared" si="16"/>
        <v>0</v>
      </c>
      <c r="AQ62" s="521">
        <v>1640.14</v>
      </c>
      <c r="AR62" s="194">
        <v>114.75352487140309</v>
      </c>
      <c r="AS62" s="444" t="s">
        <v>2561</v>
      </c>
      <c r="AT62" s="128" t="s">
        <v>1664</v>
      </c>
      <c r="AU62" s="113" t="s">
        <v>1662</v>
      </c>
    </row>
    <row r="63" spans="1:47" ht="356.25" x14ac:dyDescent="0.25">
      <c r="A63" s="8">
        <v>53</v>
      </c>
      <c r="B63" s="115"/>
      <c r="C63" s="119" t="s">
        <v>150</v>
      </c>
      <c r="D63" s="109" t="s">
        <v>151</v>
      </c>
      <c r="E63" s="113" t="s">
        <v>1439</v>
      </c>
      <c r="F63" s="110">
        <v>6510700000</v>
      </c>
      <c r="G63" s="110" t="s">
        <v>167</v>
      </c>
      <c r="H63" s="110" t="s">
        <v>168</v>
      </c>
      <c r="I63" s="111" t="s">
        <v>169</v>
      </c>
      <c r="J63" s="113" t="s">
        <v>2640</v>
      </c>
      <c r="K63" s="127" t="s">
        <v>1443</v>
      </c>
      <c r="L63" s="113" t="s">
        <v>170</v>
      </c>
      <c r="M63" s="112" t="s">
        <v>1444</v>
      </c>
      <c r="N63" s="127"/>
      <c r="O63" s="109" t="s">
        <v>8</v>
      </c>
      <c r="P63" s="114">
        <v>3.5999999999999997E-2</v>
      </c>
      <c r="Q63" s="107">
        <v>136.61000000000001</v>
      </c>
      <c r="R63" s="107" t="s">
        <v>171</v>
      </c>
      <c r="S63" s="107" t="s">
        <v>172</v>
      </c>
      <c r="T63" s="369"/>
      <c r="U63" s="332">
        <v>1475.39</v>
      </c>
      <c r="V63" s="335">
        <v>1475.39</v>
      </c>
      <c r="W63" s="333">
        <v>3</v>
      </c>
      <c r="X63" s="333">
        <f t="shared" si="15"/>
        <v>4.0983055555555561</v>
      </c>
      <c r="Y63" s="334">
        <f t="shared" si="11"/>
        <v>122.94916666666667</v>
      </c>
      <c r="Z63" s="807"/>
      <c r="AA63" s="711"/>
      <c r="AB63" s="340"/>
      <c r="AC63" s="406"/>
      <c r="AD63" s="459"/>
      <c r="AE63" s="421"/>
      <c r="AF63" s="463"/>
      <c r="AG63" s="459"/>
      <c r="AH63" s="503"/>
      <c r="AI63" s="340"/>
      <c r="AJ63" s="740"/>
      <c r="AK63" s="741"/>
      <c r="AL63" s="732"/>
      <c r="AM63" s="340">
        <f t="shared" si="4"/>
        <v>0</v>
      </c>
      <c r="AN63" s="340">
        <f t="shared" si="5"/>
        <v>0</v>
      </c>
      <c r="AO63" s="468"/>
      <c r="AP63" s="333">
        <f t="shared" si="16"/>
        <v>0</v>
      </c>
      <c r="AQ63" s="521">
        <v>1640.14</v>
      </c>
      <c r="AR63" s="194">
        <v>111.16653901680233</v>
      </c>
      <c r="AS63" s="444" t="s">
        <v>2562</v>
      </c>
      <c r="AT63" s="128" t="s">
        <v>1665</v>
      </c>
      <c r="AU63" s="113" t="s">
        <v>1662</v>
      </c>
    </row>
    <row r="64" spans="1:47" ht="409.5" x14ac:dyDescent="0.25">
      <c r="A64" s="8">
        <v>54</v>
      </c>
      <c r="B64" s="115"/>
      <c r="C64" s="119" t="s">
        <v>150</v>
      </c>
      <c r="D64" s="109" t="s">
        <v>151</v>
      </c>
      <c r="E64" s="113" t="s">
        <v>1439</v>
      </c>
      <c r="F64" s="110">
        <v>6510700000</v>
      </c>
      <c r="G64" s="110" t="s">
        <v>2162</v>
      </c>
      <c r="H64" s="110" t="s">
        <v>2163</v>
      </c>
      <c r="I64" s="111" t="s">
        <v>2164</v>
      </c>
      <c r="J64" s="127" t="s">
        <v>2165</v>
      </c>
      <c r="K64" s="127" t="s">
        <v>2166</v>
      </c>
      <c r="L64" s="127" t="s">
        <v>2167</v>
      </c>
      <c r="M64" s="129">
        <v>43522</v>
      </c>
      <c r="N64" s="127"/>
      <c r="O64" s="109" t="s">
        <v>8</v>
      </c>
      <c r="P64" s="114">
        <v>4.5100000000000001E-2</v>
      </c>
      <c r="Q64" s="107">
        <v>451.15</v>
      </c>
      <c r="R64" s="107">
        <f>Q64*451</f>
        <v>203468.65</v>
      </c>
      <c r="S64" s="107" t="s">
        <v>2168</v>
      </c>
      <c r="T64" s="369"/>
      <c r="U64" s="332">
        <f>R64*W64%</f>
        <v>6104.0594999999994</v>
      </c>
      <c r="V64" s="333">
        <f t="shared" ref="V64:V99" si="17">U64</f>
        <v>6104.0594999999994</v>
      </c>
      <c r="W64" s="333">
        <v>3</v>
      </c>
      <c r="X64" s="333">
        <f t="shared" si="15"/>
        <v>13.5345</v>
      </c>
      <c r="Y64" s="334">
        <f t="shared" si="11"/>
        <v>508.67162499999995</v>
      </c>
      <c r="Z64" s="807"/>
      <c r="AA64" s="711"/>
      <c r="AB64" s="340"/>
      <c r="AC64" s="406"/>
      <c r="AD64" s="459"/>
      <c r="AE64" s="421"/>
      <c r="AF64" s="463"/>
      <c r="AG64" s="459"/>
      <c r="AH64" s="503"/>
      <c r="AI64" s="340"/>
      <c r="AJ64" s="740"/>
      <c r="AK64" s="741"/>
      <c r="AL64" s="732"/>
      <c r="AM64" s="340">
        <f t="shared" si="4"/>
        <v>0</v>
      </c>
      <c r="AN64" s="340">
        <f t="shared" si="5"/>
        <v>0</v>
      </c>
      <c r="AO64" s="468"/>
      <c r="AP64" s="333">
        <f t="shared" si="16"/>
        <v>0</v>
      </c>
      <c r="AQ64" s="521">
        <v>6469.35</v>
      </c>
      <c r="AR64" s="194">
        <v>125.83297349656307</v>
      </c>
      <c r="AS64" s="444">
        <v>43806</v>
      </c>
      <c r="AT64" s="128" t="s">
        <v>2169</v>
      </c>
      <c r="AU64" s="113" t="s">
        <v>2170</v>
      </c>
    </row>
    <row r="65" spans="1:47" ht="409.5" x14ac:dyDescent="0.25">
      <c r="A65" s="8">
        <v>55</v>
      </c>
      <c r="B65" s="115"/>
      <c r="C65" s="119" t="s">
        <v>150</v>
      </c>
      <c r="D65" s="109" t="s">
        <v>151</v>
      </c>
      <c r="E65" s="113" t="s">
        <v>1439</v>
      </c>
      <c r="F65" s="110">
        <v>6510700000</v>
      </c>
      <c r="G65" s="110" t="s">
        <v>2185</v>
      </c>
      <c r="H65" s="110" t="s">
        <v>2186</v>
      </c>
      <c r="I65" s="111" t="s">
        <v>2164</v>
      </c>
      <c r="J65" s="127" t="s">
        <v>2187</v>
      </c>
      <c r="K65" s="127" t="s">
        <v>2166</v>
      </c>
      <c r="L65" s="127" t="s">
        <v>2188</v>
      </c>
      <c r="M65" s="129">
        <v>43535</v>
      </c>
      <c r="N65" s="127"/>
      <c r="O65" s="109" t="s">
        <v>8</v>
      </c>
      <c r="P65" s="114">
        <v>1.3899999999999999E-2</v>
      </c>
      <c r="Q65" s="107">
        <f>R65/139</f>
        <v>171.38</v>
      </c>
      <c r="R65" s="107">
        <v>23821.82</v>
      </c>
      <c r="S65" s="107" t="s">
        <v>2189</v>
      </c>
      <c r="T65" s="369"/>
      <c r="U65" s="332">
        <f>R65*W65%</f>
        <v>714.65459999999996</v>
      </c>
      <c r="V65" s="333">
        <f t="shared" si="17"/>
        <v>714.65459999999996</v>
      </c>
      <c r="W65" s="333">
        <v>3</v>
      </c>
      <c r="X65" s="333">
        <f t="shared" si="15"/>
        <v>5.1414</v>
      </c>
      <c r="Y65" s="334">
        <f t="shared" si="11"/>
        <v>59.554549999999999</v>
      </c>
      <c r="Z65" s="807"/>
      <c r="AA65" s="711"/>
      <c r="AB65" s="340"/>
      <c r="AC65" s="406"/>
      <c r="AD65" s="459"/>
      <c r="AE65" s="421"/>
      <c r="AF65" s="463"/>
      <c r="AG65" s="459"/>
      <c r="AH65" s="503"/>
      <c r="AI65" s="340"/>
      <c r="AJ65" s="746"/>
      <c r="AK65" s="741"/>
      <c r="AL65" s="732"/>
      <c r="AM65" s="340">
        <f t="shared" si="4"/>
        <v>0</v>
      </c>
      <c r="AN65" s="340">
        <f t="shared" si="5"/>
        <v>0</v>
      </c>
      <c r="AO65" s="468"/>
      <c r="AP65" s="333">
        <f t="shared" si="16"/>
        <v>0</v>
      </c>
      <c r="AQ65" s="521">
        <v>0</v>
      </c>
      <c r="AR65" s="194">
        <v>0</v>
      </c>
      <c r="AS65" s="444" t="s">
        <v>2907</v>
      </c>
      <c r="AT65" s="128" t="s">
        <v>2190</v>
      </c>
      <c r="AU65" s="113" t="s">
        <v>2170</v>
      </c>
    </row>
    <row r="66" spans="1:47" ht="409.5" x14ac:dyDescent="0.25">
      <c r="A66" s="8">
        <v>56</v>
      </c>
      <c r="B66" s="115"/>
      <c r="C66" s="119" t="s">
        <v>150</v>
      </c>
      <c r="D66" s="109" t="s">
        <v>151</v>
      </c>
      <c r="E66" s="113" t="s">
        <v>1439</v>
      </c>
      <c r="F66" s="110">
        <v>6510700000</v>
      </c>
      <c r="G66" s="110" t="s">
        <v>2636</v>
      </c>
      <c r="H66" s="110" t="s">
        <v>2637</v>
      </c>
      <c r="I66" s="111" t="s">
        <v>2638</v>
      </c>
      <c r="J66" s="127" t="s">
        <v>2639</v>
      </c>
      <c r="K66" s="127" t="s">
        <v>2645</v>
      </c>
      <c r="L66" s="127" t="s">
        <v>2646</v>
      </c>
      <c r="M66" s="129">
        <v>43654</v>
      </c>
      <c r="N66" s="127"/>
      <c r="O66" s="109" t="s">
        <v>8</v>
      </c>
      <c r="P66" s="114">
        <v>2.4899999999999999E-2</v>
      </c>
      <c r="Q66" s="107">
        <f>R66/249</f>
        <v>394.01000000000005</v>
      </c>
      <c r="R66" s="107">
        <v>98108.49</v>
      </c>
      <c r="S66" s="107" t="s">
        <v>2647</v>
      </c>
      <c r="T66" s="369"/>
      <c r="U66" s="332">
        <f>R66*W66%</f>
        <v>2943.2547</v>
      </c>
      <c r="V66" s="333">
        <f t="shared" si="17"/>
        <v>2943.2547</v>
      </c>
      <c r="W66" s="333">
        <v>3</v>
      </c>
      <c r="X66" s="333">
        <f t="shared" ref="X66:X71" si="18">U66/(P66*10000)</f>
        <v>11.820300000000001</v>
      </c>
      <c r="Y66" s="333">
        <f t="shared" si="11"/>
        <v>245.27122499999999</v>
      </c>
      <c r="Z66" s="807"/>
      <c r="AA66" s="711"/>
      <c r="AB66" s="340"/>
      <c r="AC66" s="406"/>
      <c r="AD66" s="459"/>
      <c r="AE66" s="421"/>
      <c r="AF66" s="463"/>
      <c r="AG66" s="459"/>
      <c r="AH66" s="503"/>
      <c r="AI66" s="340"/>
      <c r="AJ66" s="740"/>
      <c r="AK66" s="741"/>
      <c r="AL66" s="732"/>
      <c r="AM66" s="340">
        <f t="shared" si="4"/>
        <v>0</v>
      </c>
      <c r="AN66" s="340">
        <f t="shared" si="5"/>
        <v>0</v>
      </c>
      <c r="AO66" s="468"/>
      <c r="AP66" s="333">
        <f t="shared" si="16"/>
        <v>0</v>
      </c>
      <c r="AQ66" s="521">
        <v>0</v>
      </c>
      <c r="AR66" s="194">
        <v>0</v>
      </c>
      <c r="AS66" s="444">
        <v>43847</v>
      </c>
      <c r="AT66" s="128" t="s">
        <v>2648</v>
      </c>
      <c r="AU66" s="113" t="s">
        <v>2170</v>
      </c>
    </row>
    <row r="67" spans="1:47" ht="409.5" x14ac:dyDescent="0.25">
      <c r="A67" s="8">
        <v>57</v>
      </c>
      <c r="B67" s="115"/>
      <c r="C67" s="119" t="s">
        <v>150</v>
      </c>
      <c r="D67" s="120" t="s">
        <v>151</v>
      </c>
      <c r="E67" s="113" t="s">
        <v>1439</v>
      </c>
      <c r="F67" s="110">
        <v>6510700000</v>
      </c>
      <c r="G67" s="110" t="s">
        <v>2967</v>
      </c>
      <c r="H67" s="110" t="s">
        <v>2637</v>
      </c>
      <c r="I67" s="111" t="s">
        <v>2968</v>
      </c>
      <c r="J67" s="111" t="s">
        <v>2969</v>
      </c>
      <c r="K67" s="111" t="s">
        <v>2970</v>
      </c>
      <c r="L67" s="111" t="s">
        <v>2971</v>
      </c>
      <c r="M67" s="126">
        <v>43739</v>
      </c>
      <c r="N67" s="111"/>
      <c r="O67" s="109" t="s">
        <v>8</v>
      </c>
      <c r="P67" s="114">
        <v>1.32E-2</v>
      </c>
      <c r="Q67" s="107">
        <f>R67/132</f>
        <v>394.01</v>
      </c>
      <c r="R67" s="107">
        <v>52009.32</v>
      </c>
      <c r="S67" s="107" t="s">
        <v>2972</v>
      </c>
      <c r="T67" s="369"/>
      <c r="U67" s="332">
        <v>1560.28</v>
      </c>
      <c r="V67" s="333">
        <f t="shared" si="17"/>
        <v>1560.28</v>
      </c>
      <c r="W67" s="333">
        <v>3</v>
      </c>
      <c r="X67" s="333">
        <f t="shared" si="18"/>
        <v>11.82030303030303</v>
      </c>
      <c r="Y67" s="333">
        <f t="shared" si="11"/>
        <v>130.02333333333334</v>
      </c>
      <c r="Z67" s="807"/>
      <c r="AA67" s="711"/>
      <c r="AB67" s="340"/>
      <c r="AC67" s="406"/>
      <c r="AD67" s="459"/>
      <c r="AE67" s="421"/>
      <c r="AF67" s="463"/>
      <c r="AG67" s="459"/>
      <c r="AH67" s="503"/>
      <c r="AI67" s="340"/>
      <c r="AJ67" s="740"/>
      <c r="AK67" s="741"/>
      <c r="AL67" s="732"/>
      <c r="AM67" s="340">
        <f t="shared" si="4"/>
        <v>0</v>
      </c>
      <c r="AN67" s="340">
        <f t="shared" si="5"/>
        <v>0</v>
      </c>
      <c r="AO67" s="468"/>
      <c r="AP67" s="333">
        <f t="shared" si="16"/>
        <v>0</v>
      </c>
      <c r="AQ67" s="521">
        <v>0</v>
      </c>
      <c r="AR67" s="194">
        <v>0</v>
      </c>
      <c r="AS67" s="444">
        <v>44065</v>
      </c>
      <c r="AT67" s="128" t="s">
        <v>2973</v>
      </c>
      <c r="AU67" s="113" t="s">
        <v>2170</v>
      </c>
    </row>
    <row r="68" spans="1:47" ht="409.5" x14ac:dyDescent="0.25">
      <c r="A68" s="8">
        <v>58</v>
      </c>
      <c r="B68" s="115"/>
      <c r="C68" s="119" t="s">
        <v>150</v>
      </c>
      <c r="D68" s="120" t="s">
        <v>151</v>
      </c>
      <c r="E68" s="113" t="s">
        <v>1439</v>
      </c>
      <c r="F68" s="110">
        <v>6510700000</v>
      </c>
      <c r="G68" s="110" t="s">
        <v>2974</v>
      </c>
      <c r="H68" s="110" t="s">
        <v>2975</v>
      </c>
      <c r="I68" s="111" t="s">
        <v>2976</v>
      </c>
      <c r="J68" s="111" t="s">
        <v>2977</v>
      </c>
      <c r="K68" s="111" t="s">
        <v>2970</v>
      </c>
      <c r="L68" s="111" t="s">
        <v>2978</v>
      </c>
      <c r="M68" s="126">
        <v>43740</v>
      </c>
      <c r="N68" s="111"/>
      <c r="O68" s="109" t="s">
        <v>8</v>
      </c>
      <c r="P68" s="114">
        <v>1.3299999999999999E-2</v>
      </c>
      <c r="Q68" s="107">
        <f>R68/133</f>
        <v>378.97</v>
      </c>
      <c r="R68" s="107">
        <v>50403.01</v>
      </c>
      <c r="S68" s="107" t="s">
        <v>2979</v>
      </c>
      <c r="T68" s="369"/>
      <c r="U68" s="332">
        <v>1512.09</v>
      </c>
      <c r="V68" s="333">
        <f t="shared" si="17"/>
        <v>1512.09</v>
      </c>
      <c r="W68" s="333">
        <v>3</v>
      </c>
      <c r="X68" s="333">
        <f t="shared" si="18"/>
        <v>11.369097744360902</v>
      </c>
      <c r="Y68" s="333">
        <f t="shared" si="11"/>
        <v>126.00749999999999</v>
      </c>
      <c r="Z68" s="807"/>
      <c r="AA68" s="711"/>
      <c r="AB68" s="340"/>
      <c r="AC68" s="406"/>
      <c r="AD68" s="459"/>
      <c r="AE68" s="421"/>
      <c r="AF68" s="463"/>
      <c r="AG68" s="459"/>
      <c r="AH68" s="503"/>
      <c r="AI68" s="340"/>
      <c r="AJ68" s="740"/>
      <c r="AK68" s="741"/>
      <c r="AL68" s="732"/>
      <c r="AM68" s="340">
        <f t="shared" si="4"/>
        <v>0</v>
      </c>
      <c r="AN68" s="340">
        <f t="shared" si="5"/>
        <v>0</v>
      </c>
      <c r="AO68" s="468"/>
      <c r="AP68" s="333">
        <f t="shared" si="16"/>
        <v>0</v>
      </c>
      <c r="AQ68" s="521">
        <v>0</v>
      </c>
      <c r="AR68" s="194">
        <v>0</v>
      </c>
      <c r="AS68" s="444">
        <v>44065</v>
      </c>
      <c r="AT68" s="128" t="s">
        <v>2980</v>
      </c>
      <c r="AU68" s="113" t="s">
        <v>2170</v>
      </c>
    </row>
    <row r="69" spans="1:47" ht="409.5" x14ac:dyDescent="0.25">
      <c r="A69" s="8">
        <v>59</v>
      </c>
      <c r="B69" s="115"/>
      <c r="C69" s="119" t="s">
        <v>150</v>
      </c>
      <c r="D69" s="120" t="s">
        <v>151</v>
      </c>
      <c r="E69" s="113" t="s">
        <v>1439</v>
      </c>
      <c r="F69" s="110">
        <v>6510700000</v>
      </c>
      <c r="G69" s="110" t="s">
        <v>3113</v>
      </c>
      <c r="H69" s="110" t="s">
        <v>3114</v>
      </c>
      <c r="I69" s="111" t="s">
        <v>3115</v>
      </c>
      <c r="J69" s="111" t="s">
        <v>3117</v>
      </c>
      <c r="K69" s="111" t="s">
        <v>3118</v>
      </c>
      <c r="L69" s="111" t="s">
        <v>3116</v>
      </c>
      <c r="M69" s="126" t="s">
        <v>3163</v>
      </c>
      <c r="N69" s="111"/>
      <c r="O69" s="109" t="s">
        <v>8</v>
      </c>
      <c r="P69" s="114">
        <v>5.0000000000000001E-3</v>
      </c>
      <c r="Q69" s="107">
        <f>R69/50</f>
        <v>139.02000000000001</v>
      </c>
      <c r="R69" s="107">
        <v>6951</v>
      </c>
      <c r="S69" s="107" t="s">
        <v>3119</v>
      </c>
      <c r="T69" s="369"/>
      <c r="U69" s="332">
        <v>208.53</v>
      </c>
      <c r="V69" s="333">
        <f t="shared" si="17"/>
        <v>208.53</v>
      </c>
      <c r="W69" s="333">
        <v>3</v>
      </c>
      <c r="X69" s="333">
        <f t="shared" si="18"/>
        <v>4.1706000000000003</v>
      </c>
      <c r="Y69" s="333">
        <f t="shared" si="11"/>
        <v>17.377500000000001</v>
      </c>
      <c r="Z69" s="807"/>
      <c r="AA69" s="711"/>
      <c r="AB69" s="340"/>
      <c r="AC69" s="406"/>
      <c r="AD69" s="459"/>
      <c r="AE69" s="421"/>
      <c r="AF69" s="463"/>
      <c r="AG69" s="459"/>
      <c r="AH69" s="503"/>
      <c r="AI69" s="340"/>
      <c r="AJ69" s="759"/>
      <c r="AK69" s="741"/>
      <c r="AL69" s="732"/>
      <c r="AM69" s="340">
        <f t="shared" si="4"/>
        <v>0</v>
      </c>
      <c r="AN69" s="340">
        <f t="shared" si="5"/>
        <v>0</v>
      </c>
      <c r="AO69" s="468"/>
      <c r="AP69" s="333">
        <f t="shared" si="16"/>
        <v>0</v>
      </c>
      <c r="AQ69" s="521">
        <v>0</v>
      </c>
      <c r="AR69" s="194">
        <v>0</v>
      </c>
      <c r="AS69" s="444">
        <v>44065</v>
      </c>
      <c r="AT69" s="128" t="s">
        <v>3120</v>
      </c>
      <c r="AU69" s="113" t="s">
        <v>1662</v>
      </c>
    </row>
    <row r="70" spans="1:47" ht="409.5" x14ac:dyDescent="0.25">
      <c r="A70" s="8">
        <v>60</v>
      </c>
      <c r="B70" s="115"/>
      <c r="C70" s="119" t="s">
        <v>150</v>
      </c>
      <c r="D70" s="120" t="s">
        <v>151</v>
      </c>
      <c r="E70" s="113" t="s">
        <v>1439</v>
      </c>
      <c r="F70" s="110">
        <v>6510700000</v>
      </c>
      <c r="G70" s="110" t="s">
        <v>3164</v>
      </c>
      <c r="H70" s="110" t="s">
        <v>3114</v>
      </c>
      <c r="I70" s="111" t="s">
        <v>3165</v>
      </c>
      <c r="J70" s="111" t="s">
        <v>3166</v>
      </c>
      <c r="K70" s="111" t="s">
        <v>3167</v>
      </c>
      <c r="L70" s="111" t="s">
        <v>3168</v>
      </c>
      <c r="M70" s="126" t="s">
        <v>3169</v>
      </c>
      <c r="N70" s="111"/>
      <c r="O70" s="109"/>
      <c r="P70" s="114">
        <v>5.0000000000000001E-3</v>
      </c>
      <c r="Q70" s="107">
        <f>R70/50</f>
        <v>134.30000000000001</v>
      </c>
      <c r="R70" s="107">
        <v>6715</v>
      </c>
      <c r="S70" s="107" t="s">
        <v>3170</v>
      </c>
      <c r="T70" s="369"/>
      <c r="U70" s="344">
        <v>201.45</v>
      </c>
      <c r="V70" s="345">
        <f t="shared" si="17"/>
        <v>201.45</v>
      </c>
      <c r="W70" s="345">
        <v>3</v>
      </c>
      <c r="X70" s="345">
        <f t="shared" si="18"/>
        <v>4.0289999999999999</v>
      </c>
      <c r="Y70" s="345">
        <f t="shared" si="11"/>
        <v>16.787499999999998</v>
      </c>
      <c r="Z70" s="807"/>
      <c r="AA70" s="852"/>
      <c r="AB70" s="359"/>
      <c r="AC70" s="407"/>
      <c r="AD70" s="483"/>
      <c r="AE70" s="422"/>
      <c r="AF70" s="462"/>
      <c r="AG70" s="483"/>
      <c r="AH70" s="502"/>
      <c r="AI70" s="359"/>
      <c r="AJ70" s="740"/>
      <c r="AK70" s="529"/>
      <c r="AL70" s="752"/>
      <c r="AM70" s="340">
        <f t="shared" si="4"/>
        <v>0</v>
      </c>
      <c r="AN70" s="340">
        <f t="shared" si="5"/>
        <v>0</v>
      </c>
      <c r="AO70" s="468"/>
      <c r="AP70" s="345">
        <f t="shared" si="16"/>
        <v>0</v>
      </c>
      <c r="AQ70" s="521">
        <v>0</v>
      </c>
      <c r="AR70" s="685">
        <v>0</v>
      </c>
      <c r="AS70" s="444">
        <v>44114</v>
      </c>
      <c r="AT70" s="128" t="s">
        <v>3120</v>
      </c>
      <c r="AU70" s="113" t="s">
        <v>1662</v>
      </c>
    </row>
    <row r="71" spans="1:47" ht="409.5" x14ac:dyDescent="0.25">
      <c r="A71" s="8"/>
      <c r="B71" s="115"/>
      <c r="C71" s="119" t="s">
        <v>150</v>
      </c>
      <c r="D71" s="120" t="s">
        <v>151</v>
      </c>
      <c r="E71" s="113" t="s">
        <v>1439</v>
      </c>
      <c r="F71" s="110">
        <v>6510700000</v>
      </c>
      <c r="G71" s="110" t="s">
        <v>3501</v>
      </c>
      <c r="H71" s="110" t="s">
        <v>3502</v>
      </c>
      <c r="I71" s="111" t="s">
        <v>3176</v>
      </c>
      <c r="J71" s="111" t="s">
        <v>3504</v>
      </c>
      <c r="K71" s="111" t="s">
        <v>3505</v>
      </c>
      <c r="L71" s="111" t="s">
        <v>3503</v>
      </c>
      <c r="M71" s="126">
        <v>43878</v>
      </c>
      <c r="N71" s="111"/>
      <c r="O71" s="109" t="s">
        <v>8</v>
      </c>
      <c r="P71" s="114">
        <v>2.5999999999999999E-2</v>
      </c>
      <c r="Q71" s="107">
        <f>R71/260</f>
        <v>227.98000000000002</v>
      </c>
      <c r="R71" s="107">
        <v>59274.8</v>
      </c>
      <c r="S71" s="897" t="s">
        <v>3506</v>
      </c>
      <c r="T71" s="369"/>
      <c r="U71" s="344">
        <v>1778.24</v>
      </c>
      <c r="V71" s="345">
        <v>1303.05</v>
      </c>
      <c r="W71" s="345">
        <v>3</v>
      </c>
      <c r="X71" s="345">
        <f t="shared" si="18"/>
        <v>6.8393846153846152</v>
      </c>
      <c r="Y71" s="345">
        <f t="shared" si="11"/>
        <v>108.58749999999999</v>
      </c>
      <c r="Z71" s="807"/>
      <c r="AA71" s="852"/>
      <c r="AB71" s="359"/>
      <c r="AC71" s="407"/>
      <c r="AD71" s="483"/>
      <c r="AE71" s="422"/>
      <c r="AF71" s="462"/>
      <c r="AG71" s="483"/>
      <c r="AH71" s="502"/>
      <c r="AI71" s="359"/>
      <c r="AJ71" s="740"/>
      <c r="AK71" s="529"/>
      <c r="AL71" s="752"/>
      <c r="AM71" s="340">
        <f t="shared" si="4"/>
        <v>0</v>
      </c>
      <c r="AN71" s="340"/>
      <c r="AO71" s="468"/>
      <c r="AP71" s="345">
        <f t="shared" si="16"/>
        <v>0</v>
      </c>
      <c r="AQ71" s="521" t="s">
        <v>1887</v>
      </c>
      <c r="AR71" s="685" t="s">
        <v>1887</v>
      </c>
      <c r="AS71" s="444" t="s">
        <v>3507</v>
      </c>
      <c r="AT71" s="128" t="s">
        <v>3502</v>
      </c>
      <c r="AU71" s="113" t="s">
        <v>1662</v>
      </c>
    </row>
    <row r="72" spans="1:47" ht="21" x14ac:dyDescent="0.25">
      <c r="A72" s="1167"/>
      <c r="B72" s="1167"/>
      <c r="C72" s="1278"/>
      <c r="D72" s="1286"/>
      <c r="E72" s="1188"/>
      <c r="F72" s="1171"/>
      <c r="G72" s="1171"/>
      <c r="H72" s="1171"/>
      <c r="I72" s="1172"/>
      <c r="J72" s="1172"/>
      <c r="K72" s="1172"/>
      <c r="L72" s="1172"/>
      <c r="M72" s="1174"/>
      <c r="N72" s="1172"/>
      <c r="O72" s="1170"/>
      <c r="P72" s="1280"/>
      <c r="Q72" s="1177"/>
      <c r="R72" s="1177"/>
      <c r="S72" s="1294"/>
      <c r="T72" s="1178"/>
      <c r="U72" s="1164"/>
      <c r="V72" s="1281">
        <f>V59+V60+V61+V62+V63+V64+V65+V66+V67++V68+V69+V70+V71</f>
        <v>49887.470399999991</v>
      </c>
      <c r="W72" s="1281"/>
      <c r="X72" s="1281"/>
      <c r="Y72" s="1281">
        <f>V72/12</f>
        <v>4157.2891999999993</v>
      </c>
      <c r="Z72" s="1237"/>
      <c r="AA72" s="1183"/>
      <c r="AB72" s="1183"/>
      <c r="AC72" s="1179"/>
      <c r="AD72" s="1180"/>
      <c r="AE72" s="1212"/>
      <c r="AF72" s="1215"/>
      <c r="AG72" s="1180"/>
      <c r="AH72" s="1282"/>
      <c r="AI72" s="1183"/>
      <c r="AJ72" s="1181"/>
      <c r="AK72" s="1166"/>
      <c r="AL72" s="1283"/>
      <c r="AM72" s="1183">
        <f>AM59+AM60+AM61+AM62+AM63+AM64+AM65+AM66+AM67++AM68+AM69+AM70+AM71</f>
        <v>9772.57</v>
      </c>
      <c r="AN72" s="1183"/>
      <c r="AO72" s="1179">
        <f>(Y72*3)-AM72</f>
        <v>2699.2975999999981</v>
      </c>
      <c r="AP72" s="1281">
        <f t="shared" si="16"/>
        <v>19.589227358378952</v>
      </c>
      <c r="AQ72" s="1184"/>
      <c r="AR72" s="1185"/>
      <c r="AS72" s="1186"/>
      <c r="AT72" s="1284"/>
      <c r="AU72" s="1188"/>
    </row>
    <row r="73" spans="1:47" ht="281.25" x14ac:dyDescent="0.25">
      <c r="A73" s="8">
        <v>61</v>
      </c>
      <c r="B73" s="115">
        <v>14</v>
      </c>
      <c r="C73" s="119" t="s">
        <v>173</v>
      </c>
      <c r="D73" s="107" t="s">
        <v>174</v>
      </c>
      <c r="E73" s="115">
        <v>24108375</v>
      </c>
      <c r="F73" s="110">
        <v>6510700000</v>
      </c>
      <c r="G73" s="110" t="s">
        <v>175</v>
      </c>
      <c r="H73" s="110" t="s">
        <v>174</v>
      </c>
      <c r="I73" s="111"/>
      <c r="J73" s="121" t="s">
        <v>176</v>
      </c>
      <c r="K73" s="111" t="s">
        <v>1445</v>
      </c>
      <c r="L73" s="121" t="s">
        <v>177</v>
      </c>
      <c r="M73" s="126" t="s">
        <v>2179</v>
      </c>
      <c r="N73" s="121" t="s">
        <v>178</v>
      </c>
      <c r="O73" s="109" t="s">
        <v>8</v>
      </c>
      <c r="P73" s="114">
        <v>0.1741</v>
      </c>
      <c r="Q73" s="107">
        <v>249.16</v>
      </c>
      <c r="R73" s="107">
        <v>433787.56</v>
      </c>
      <c r="S73" s="898" t="s">
        <v>2540</v>
      </c>
      <c r="T73" s="369"/>
      <c r="U73" s="339">
        <f t="shared" ref="U73:U85" si="19">R73*W73%</f>
        <v>13013.6268</v>
      </c>
      <c r="V73" s="339">
        <f t="shared" si="17"/>
        <v>13013.6268</v>
      </c>
      <c r="W73" s="339">
        <v>3</v>
      </c>
      <c r="X73" s="333">
        <f t="shared" ref="X73:X85" si="20">V73/(P73*10000)</f>
        <v>7.4748000000000001</v>
      </c>
      <c r="Y73" s="333">
        <f t="shared" si="11"/>
        <v>1084.4689000000001</v>
      </c>
      <c r="Z73" s="807"/>
      <c r="AA73" s="753">
        <v>2000</v>
      </c>
      <c r="AB73" s="340"/>
      <c r="AC73" s="406"/>
      <c r="AD73" s="459"/>
      <c r="AE73" s="421"/>
      <c r="AF73" s="463"/>
      <c r="AG73" s="459"/>
      <c r="AH73" s="503"/>
      <c r="AI73" s="340"/>
      <c r="AJ73" s="740"/>
      <c r="AK73" s="741"/>
      <c r="AL73" s="732"/>
      <c r="AM73" s="340">
        <f t="shared" si="4"/>
        <v>2000</v>
      </c>
      <c r="AN73" s="340">
        <f t="shared" si="5"/>
        <v>2000</v>
      </c>
      <c r="AO73" s="406">
        <f>(Y73*3)-AM73</f>
        <v>1253.4067000000005</v>
      </c>
      <c r="AP73" s="333">
        <f t="shared" si="16"/>
        <v>15.368505880313089</v>
      </c>
      <c r="AQ73" s="521">
        <v>10925.08</v>
      </c>
      <c r="AR73" s="685">
        <v>31.481654291792044</v>
      </c>
      <c r="AS73" s="447" t="s">
        <v>2559</v>
      </c>
      <c r="AT73" s="125" t="s">
        <v>1666</v>
      </c>
      <c r="AU73" s="113" t="s">
        <v>1667</v>
      </c>
    </row>
    <row r="74" spans="1:47" ht="93.75" x14ac:dyDescent="0.25">
      <c r="A74" s="8">
        <v>62</v>
      </c>
      <c r="B74" s="115">
        <v>15</v>
      </c>
      <c r="C74" s="98" t="s">
        <v>179</v>
      </c>
      <c r="D74" s="80" t="s">
        <v>180</v>
      </c>
      <c r="E74" s="9">
        <v>33664968</v>
      </c>
      <c r="F74" s="19">
        <v>6510700000</v>
      </c>
      <c r="G74" s="19" t="s">
        <v>181</v>
      </c>
      <c r="H74" s="19" t="s">
        <v>101</v>
      </c>
      <c r="I74" s="75"/>
      <c r="J74" s="10" t="s">
        <v>182</v>
      </c>
      <c r="K74" s="13" t="s">
        <v>3419</v>
      </c>
      <c r="L74" s="10"/>
      <c r="M74" s="20" t="s">
        <v>183</v>
      </c>
      <c r="N74" s="10"/>
      <c r="O74" s="10" t="s">
        <v>8</v>
      </c>
      <c r="P74" s="27">
        <v>2.3999999999999998E-3</v>
      </c>
      <c r="Q74" s="12">
        <v>2043.23</v>
      </c>
      <c r="R74" s="12">
        <v>49037.52</v>
      </c>
      <c r="S74" s="80" t="s">
        <v>3362</v>
      </c>
      <c r="T74" s="371"/>
      <c r="U74" s="332">
        <f t="shared" si="19"/>
        <v>4903.7519999999995</v>
      </c>
      <c r="V74" s="333">
        <f t="shared" si="17"/>
        <v>4903.7519999999995</v>
      </c>
      <c r="W74" s="333">
        <v>10</v>
      </c>
      <c r="X74" s="333">
        <f t="shared" si="20"/>
        <v>204.32300000000001</v>
      </c>
      <c r="Y74" s="333">
        <f t="shared" si="11"/>
        <v>408.64599999999996</v>
      </c>
      <c r="Z74" s="807"/>
      <c r="AA74" s="711">
        <v>495</v>
      </c>
      <c r="AB74" s="340">
        <v>450</v>
      </c>
      <c r="AC74" s="406">
        <v>450</v>
      </c>
      <c r="AD74" s="459"/>
      <c r="AE74" s="421"/>
      <c r="AF74" s="463"/>
      <c r="AG74" s="459"/>
      <c r="AH74" s="503"/>
      <c r="AI74" s="340"/>
      <c r="AJ74" s="740"/>
      <c r="AK74" s="741"/>
      <c r="AL74" s="732"/>
      <c r="AM74" s="340">
        <f t="shared" si="4"/>
        <v>1395</v>
      </c>
      <c r="AN74" s="340">
        <f t="shared" si="5"/>
        <v>1395</v>
      </c>
      <c r="AO74" s="468">
        <f t="shared" ref="AO74:AO83" si="21">(Y74*3)-AM74</f>
        <v>-169.06200000000013</v>
      </c>
      <c r="AP74" s="333">
        <f t="shared" si="16"/>
        <v>28.447605017545751</v>
      </c>
      <c r="AQ74" s="192">
        <v>3150</v>
      </c>
      <c r="AR74" s="194">
        <v>64.23652745897428</v>
      </c>
      <c r="AS74" s="443" t="s">
        <v>2910</v>
      </c>
      <c r="AT74" s="17" t="s">
        <v>1668</v>
      </c>
      <c r="AU74" s="13" t="s">
        <v>1629</v>
      </c>
    </row>
    <row r="75" spans="1:47" ht="187.5" x14ac:dyDescent="0.25">
      <c r="A75" s="8">
        <v>63</v>
      </c>
      <c r="B75" s="8">
        <v>16</v>
      </c>
      <c r="C75" s="103" t="s">
        <v>184</v>
      </c>
      <c r="D75" s="105" t="s">
        <v>185</v>
      </c>
      <c r="E75" s="14">
        <v>32668118</v>
      </c>
      <c r="F75" s="16">
        <v>6510700000</v>
      </c>
      <c r="G75" s="16" t="s">
        <v>2843</v>
      </c>
      <c r="H75" s="16" t="s">
        <v>186</v>
      </c>
      <c r="I75" s="81" t="s">
        <v>3332</v>
      </c>
      <c r="J75" s="63" t="s">
        <v>187</v>
      </c>
      <c r="K75" s="81" t="s">
        <v>3333</v>
      </c>
      <c r="L75" s="16">
        <v>406732000023</v>
      </c>
      <c r="M75" s="93">
        <v>38824</v>
      </c>
      <c r="N75" s="63" t="s">
        <v>3457</v>
      </c>
      <c r="O75" s="14" t="s">
        <v>8</v>
      </c>
      <c r="P75" s="90">
        <v>0.8</v>
      </c>
      <c r="Q75" s="68">
        <f>R75/8000</f>
        <v>582.15</v>
      </c>
      <c r="R75" s="68">
        <v>4657200</v>
      </c>
      <c r="S75" s="663" t="s">
        <v>3336</v>
      </c>
      <c r="T75" s="367"/>
      <c r="U75" s="581">
        <f t="shared" si="19"/>
        <v>558864</v>
      </c>
      <c r="V75" s="581">
        <f t="shared" si="17"/>
        <v>558864</v>
      </c>
      <c r="W75" s="336">
        <v>12</v>
      </c>
      <c r="X75" s="336">
        <f t="shared" si="20"/>
        <v>69.858000000000004</v>
      </c>
      <c r="Y75" s="336">
        <f t="shared" si="11"/>
        <v>46572</v>
      </c>
      <c r="Z75" s="840"/>
      <c r="AA75" s="747">
        <v>46572</v>
      </c>
      <c r="AB75" s="511">
        <v>46572</v>
      </c>
      <c r="AC75" s="464"/>
      <c r="AD75" s="1113"/>
      <c r="AE75" s="511"/>
      <c r="AF75" s="747"/>
      <c r="AG75" s="511"/>
      <c r="AH75" s="511"/>
      <c r="AI75" s="511"/>
      <c r="AJ75" s="760"/>
      <c r="AK75" s="747"/>
      <c r="AL75" s="757"/>
      <c r="AM75" s="340">
        <f t="shared" si="4"/>
        <v>93144</v>
      </c>
      <c r="AN75" s="340">
        <f t="shared" si="5"/>
        <v>93144</v>
      </c>
      <c r="AO75" s="406">
        <f t="shared" si="21"/>
        <v>46572</v>
      </c>
      <c r="AP75" s="336">
        <f t="shared" si="16"/>
        <v>16.666666666666668</v>
      </c>
      <c r="AQ75" s="68">
        <v>326004</v>
      </c>
      <c r="AR75" s="304">
        <v>58.333333333333336</v>
      </c>
      <c r="AS75" s="308" t="s">
        <v>2909</v>
      </c>
      <c r="AT75" s="14" t="s">
        <v>1669</v>
      </c>
      <c r="AU75" s="62" t="s">
        <v>1713</v>
      </c>
    </row>
    <row r="76" spans="1:47" ht="150" x14ac:dyDescent="0.25">
      <c r="A76" s="8">
        <v>64</v>
      </c>
      <c r="B76" s="9">
        <v>17</v>
      </c>
      <c r="C76" s="98" t="s">
        <v>188</v>
      </c>
      <c r="D76" s="80" t="s">
        <v>189</v>
      </c>
      <c r="E76" s="9" t="s">
        <v>1446</v>
      </c>
      <c r="F76" s="19">
        <v>6510700000</v>
      </c>
      <c r="G76" s="19" t="s">
        <v>3363</v>
      </c>
      <c r="H76" s="19" t="s">
        <v>190</v>
      </c>
      <c r="I76" s="75"/>
      <c r="J76" s="12" t="s">
        <v>2813</v>
      </c>
      <c r="K76" s="13" t="s">
        <v>191</v>
      </c>
      <c r="L76" s="10" t="s">
        <v>2812</v>
      </c>
      <c r="M76" s="20" t="s">
        <v>191</v>
      </c>
      <c r="N76" s="10"/>
      <c r="O76" s="10" t="s">
        <v>8</v>
      </c>
      <c r="P76" s="27">
        <v>0.19800000000000001</v>
      </c>
      <c r="Q76" s="579">
        <f>R76/1980</f>
        <v>931.18999999999994</v>
      </c>
      <c r="R76" s="579">
        <v>1843756.2</v>
      </c>
      <c r="S76" s="663" t="s">
        <v>3392</v>
      </c>
      <c r="T76" s="371"/>
      <c r="U76" s="332">
        <f t="shared" si="19"/>
        <v>221250.74399999998</v>
      </c>
      <c r="V76" s="333">
        <f t="shared" si="17"/>
        <v>221250.74399999998</v>
      </c>
      <c r="W76" s="333">
        <v>12</v>
      </c>
      <c r="X76" s="333">
        <f t="shared" si="20"/>
        <v>111.74279999999999</v>
      </c>
      <c r="Y76" s="333">
        <f t="shared" si="11"/>
        <v>18437.561999999998</v>
      </c>
      <c r="Z76" s="807">
        <v>4841.7700000000004</v>
      </c>
      <c r="AA76" s="711">
        <f>4841.77+18437.75</f>
        <v>23279.52</v>
      </c>
      <c r="AB76" s="340">
        <f>4841.77+18437.75</f>
        <v>23279.52</v>
      </c>
      <c r="AC76" s="406">
        <f>4841.77+18437.75</f>
        <v>23279.52</v>
      </c>
      <c r="AD76" s="459"/>
      <c r="AE76" s="421"/>
      <c r="AF76" s="463"/>
      <c r="AG76" s="459"/>
      <c r="AH76" s="503"/>
      <c r="AI76" s="340"/>
      <c r="AJ76" s="740"/>
      <c r="AK76" s="741"/>
      <c r="AL76" s="732"/>
      <c r="AM76" s="340">
        <f t="shared" si="4"/>
        <v>74680.33</v>
      </c>
      <c r="AN76" s="340">
        <f t="shared" si="5"/>
        <v>69838.559999999998</v>
      </c>
      <c r="AO76" s="468">
        <f t="shared" si="21"/>
        <v>-19367.644000000008</v>
      </c>
      <c r="AP76" s="333">
        <f t="shared" si="16"/>
        <v>33.753707964932318</v>
      </c>
      <c r="AQ76" s="192">
        <v>221253.00000000003</v>
      </c>
      <c r="AR76" s="194">
        <v>99.999945763476717</v>
      </c>
      <c r="AS76" s="443" t="s">
        <v>2908</v>
      </c>
      <c r="AT76" s="17" t="s">
        <v>1670</v>
      </c>
      <c r="AU76" s="13" t="s">
        <v>1629</v>
      </c>
    </row>
    <row r="77" spans="1:47" ht="93.75" x14ac:dyDescent="0.25">
      <c r="A77" s="8">
        <v>65</v>
      </c>
      <c r="B77" s="9">
        <v>18</v>
      </c>
      <c r="C77" s="168" t="s">
        <v>192</v>
      </c>
      <c r="D77" s="131" t="s">
        <v>193</v>
      </c>
      <c r="E77" s="109" t="s">
        <v>1447</v>
      </c>
      <c r="F77" s="110">
        <v>6510700000</v>
      </c>
      <c r="G77" s="110" t="s">
        <v>2220</v>
      </c>
      <c r="H77" s="110" t="s">
        <v>193</v>
      </c>
      <c r="I77" s="111" t="s">
        <v>2221</v>
      </c>
      <c r="J77" s="121" t="s">
        <v>2223</v>
      </c>
      <c r="K77" s="111" t="s">
        <v>2222</v>
      </c>
      <c r="L77" s="121" t="s">
        <v>2224</v>
      </c>
      <c r="M77" s="126" t="s">
        <v>2225</v>
      </c>
      <c r="N77" s="121"/>
      <c r="O77" s="120" t="s">
        <v>8</v>
      </c>
      <c r="P77" s="175">
        <v>4.6800000000000001E-2</v>
      </c>
      <c r="Q77" s="116">
        <v>1889.12</v>
      </c>
      <c r="R77" s="107">
        <v>884108.15999999992</v>
      </c>
      <c r="S77" s="107"/>
      <c r="T77" s="369"/>
      <c r="U77" s="344">
        <f t="shared" si="19"/>
        <v>26523.244799999997</v>
      </c>
      <c r="V77" s="344">
        <f t="shared" si="17"/>
        <v>26523.244799999997</v>
      </c>
      <c r="W77" s="344">
        <v>3</v>
      </c>
      <c r="X77" s="344">
        <f t="shared" si="20"/>
        <v>56.673599999999993</v>
      </c>
      <c r="Y77" s="344">
        <f t="shared" si="11"/>
        <v>2210.2703999999999</v>
      </c>
      <c r="Z77" s="840"/>
      <c r="AA77" s="529">
        <v>2210.27</v>
      </c>
      <c r="AB77" s="364">
        <v>2210.27</v>
      </c>
      <c r="AC77" s="407"/>
      <c r="AD77" s="483"/>
      <c r="AE77" s="422"/>
      <c r="AF77" s="462"/>
      <c r="AG77" s="483"/>
      <c r="AH77" s="502"/>
      <c r="AI77" s="364"/>
      <c r="AJ77" s="751"/>
      <c r="AK77" s="529"/>
      <c r="AL77" s="756"/>
      <c r="AM77" s="340">
        <f t="shared" ref="AM77:AM148" si="22">SUM(Z77:AK77)</f>
        <v>4420.54</v>
      </c>
      <c r="AN77" s="340">
        <f t="shared" ref="AN77:AN148" si="23">SUM(AA77:AL77)</f>
        <v>4420.54</v>
      </c>
      <c r="AO77" s="468">
        <f t="shared" si="21"/>
        <v>2210.2712000000001</v>
      </c>
      <c r="AP77" s="344">
        <f t="shared" si="16"/>
        <v>16.666663650444459</v>
      </c>
      <c r="AQ77" s="521">
        <v>22102.7</v>
      </c>
      <c r="AR77" s="685">
        <v>83.333318252222298</v>
      </c>
      <c r="AS77" s="444" t="s">
        <v>2558</v>
      </c>
      <c r="AT77" s="330" t="s">
        <v>1671</v>
      </c>
      <c r="AU77" s="174" t="s">
        <v>1634</v>
      </c>
    </row>
    <row r="78" spans="1:47" ht="168.75" x14ac:dyDescent="0.25">
      <c r="A78" s="8">
        <v>66</v>
      </c>
      <c r="B78" s="9">
        <v>19</v>
      </c>
      <c r="C78" s="207" t="s">
        <v>194</v>
      </c>
      <c r="D78" s="208" t="s">
        <v>195</v>
      </c>
      <c r="E78" s="206">
        <v>33768566</v>
      </c>
      <c r="F78" s="209">
        <v>6510700000</v>
      </c>
      <c r="G78" s="209" t="s">
        <v>196</v>
      </c>
      <c r="H78" s="209" t="s">
        <v>197</v>
      </c>
      <c r="I78" s="210" t="s">
        <v>198</v>
      </c>
      <c r="J78" s="211" t="s">
        <v>199</v>
      </c>
      <c r="K78" s="212" t="s">
        <v>1448</v>
      </c>
      <c r="L78" s="213" t="s">
        <v>200</v>
      </c>
      <c r="M78" s="318" t="s">
        <v>201</v>
      </c>
      <c r="N78" s="213"/>
      <c r="O78" s="214" t="s">
        <v>8</v>
      </c>
      <c r="P78" s="215">
        <v>0.28129999999999999</v>
      </c>
      <c r="Q78" s="216">
        <v>903.52</v>
      </c>
      <c r="R78" s="208">
        <v>2541601.7599999998</v>
      </c>
      <c r="S78" s="208" t="s">
        <v>202</v>
      </c>
      <c r="T78" s="372"/>
      <c r="U78" s="343">
        <f t="shared" si="19"/>
        <v>3812.4026399999998</v>
      </c>
      <c r="V78" s="339">
        <f t="shared" si="17"/>
        <v>3812.4026399999998</v>
      </c>
      <c r="W78" s="339">
        <v>0.15</v>
      </c>
      <c r="X78" s="333">
        <f t="shared" si="20"/>
        <v>1.3552799999999998</v>
      </c>
      <c r="Y78" s="333">
        <f t="shared" si="11"/>
        <v>317.70022</v>
      </c>
      <c r="Z78" s="807"/>
      <c r="AA78" s="633"/>
      <c r="AB78" s="421"/>
      <c r="AC78" s="406"/>
      <c r="AD78" s="459"/>
      <c r="AE78" s="421"/>
      <c r="AF78" s="463"/>
      <c r="AG78" s="459"/>
      <c r="AH78" s="503"/>
      <c r="AI78" s="421"/>
      <c r="AJ78" s="740"/>
      <c r="AK78" s="741"/>
      <c r="AL78" s="761"/>
      <c r="AM78" s="340">
        <f t="shared" si="22"/>
        <v>0</v>
      </c>
      <c r="AN78" s="340">
        <f t="shared" si="23"/>
        <v>0</v>
      </c>
      <c r="AO78" s="406">
        <f t="shared" si="21"/>
        <v>953.10066000000006</v>
      </c>
      <c r="AP78" s="333">
        <f t="shared" ref="AP78:AP150" si="24">AM78*100/V78</f>
        <v>0</v>
      </c>
      <c r="AQ78" s="192">
        <v>0</v>
      </c>
      <c r="AR78" s="416">
        <v>0</v>
      </c>
      <c r="AS78" s="448">
        <v>44755</v>
      </c>
      <c r="AT78" s="217" t="s">
        <v>1672</v>
      </c>
      <c r="AU78" s="213" t="s">
        <v>1673</v>
      </c>
    </row>
    <row r="79" spans="1:47" ht="262.5" x14ac:dyDescent="0.25">
      <c r="A79" s="8">
        <v>67</v>
      </c>
      <c r="B79" s="9">
        <v>20</v>
      </c>
      <c r="C79" s="102" t="s">
        <v>203</v>
      </c>
      <c r="D79" s="40" t="s">
        <v>204</v>
      </c>
      <c r="E79" s="48">
        <v>30373644</v>
      </c>
      <c r="F79" s="41">
        <v>6510700000</v>
      </c>
      <c r="G79" s="48" t="s">
        <v>205</v>
      </c>
      <c r="H79" s="42" t="s">
        <v>206</v>
      </c>
      <c r="I79" s="82" t="s">
        <v>207</v>
      </c>
      <c r="J79" s="177" t="s">
        <v>2667</v>
      </c>
      <c r="K79" s="178" t="s">
        <v>1449</v>
      </c>
      <c r="L79" s="40" t="s">
        <v>208</v>
      </c>
      <c r="M79" s="182">
        <v>43080</v>
      </c>
      <c r="N79" s="43" t="s">
        <v>209</v>
      </c>
      <c r="O79" s="177" t="s">
        <v>8</v>
      </c>
      <c r="P79" s="44">
        <v>8.5300000000000001E-2</v>
      </c>
      <c r="Q79" s="45">
        <v>135.5</v>
      </c>
      <c r="R79" s="45">
        <v>115581.5</v>
      </c>
      <c r="S79" s="45" t="s">
        <v>210</v>
      </c>
      <c r="T79" s="367"/>
      <c r="U79" s="581">
        <f t="shared" si="19"/>
        <v>3467.4449999999997</v>
      </c>
      <c r="V79" s="582">
        <f t="shared" si="17"/>
        <v>3467.4449999999997</v>
      </c>
      <c r="W79" s="332">
        <v>3</v>
      </c>
      <c r="X79" s="333">
        <f t="shared" si="20"/>
        <v>4.0649999999999995</v>
      </c>
      <c r="Y79" s="333">
        <f t="shared" si="11"/>
        <v>288.95374999999996</v>
      </c>
      <c r="Z79" s="807"/>
      <c r="AA79" s="711">
        <v>3467.45</v>
      </c>
      <c r="AB79" s="340"/>
      <c r="AC79" s="406"/>
      <c r="AD79" s="459"/>
      <c r="AE79" s="421"/>
      <c r="AF79" s="463"/>
      <c r="AG79" s="459"/>
      <c r="AH79" s="503"/>
      <c r="AI79" s="340"/>
      <c r="AJ79" s="740"/>
      <c r="AK79" s="741"/>
      <c r="AL79" s="732"/>
      <c r="AM79" s="340">
        <f t="shared" si="22"/>
        <v>3467.45</v>
      </c>
      <c r="AN79" s="340">
        <f t="shared" si="23"/>
        <v>3467.45</v>
      </c>
      <c r="AO79" s="468">
        <f t="shared" si="21"/>
        <v>-2600.5887499999999</v>
      </c>
      <c r="AP79" s="333">
        <f t="shared" si="24"/>
        <v>100.00014419839393</v>
      </c>
      <c r="AQ79" s="192">
        <v>3467.45</v>
      </c>
      <c r="AR79" s="194">
        <v>100.00014419839393</v>
      </c>
      <c r="AS79" s="449" t="s">
        <v>1674</v>
      </c>
      <c r="AT79" s="46" t="s">
        <v>1675</v>
      </c>
      <c r="AU79" s="666" t="s">
        <v>1676</v>
      </c>
    </row>
    <row r="80" spans="1:47" ht="206.25" x14ac:dyDescent="0.25">
      <c r="A80" s="8">
        <v>68</v>
      </c>
      <c r="B80" s="9">
        <v>21</v>
      </c>
      <c r="C80" s="98" t="s">
        <v>211</v>
      </c>
      <c r="D80" s="17" t="s">
        <v>212</v>
      </c>
      <c r="E80" s="10">
        <v>24951326</v>
      </c>
      <c r="F80" s="19">
        <v>6510700000</v>
      </c>
      <c r="G80" s="48" t="s">
        <v>205</v>
      </c>
      <c r="H80" s="48" t="s">
        <v>206</v>
      </c>
      <c r="I80" s="47" t="s">
        <v>207</v>
      </c>
      <c r="J80" s="177" t="s">
        <v>2668</v>
      </c>
      <c r="K80" s="72" t="s">
        <v>1449</v>
      </c>
      <c r="L80" s="76" t="s">
        <v>213</v>
      </c>
      <c r="M80" s="20">
        <v>43080</v>
      </c>
      <c r="N80" s="10"/>
      <c r="O80" s="177" t="s">
        <v>8</v>
      </c>
      <c r="P80" s="25">
        <v>1.4999999999999999E-2</v>
      </c>
      <c r="Q80" s="26">
        <v>483.85</v>
      </c>
      <c r="R80" s="12">
        <v>72577.5</v>
      </c>
      <c r="S80" s="45" t="s">
        <v>210</v>
      </c>
      <c r="T80" s="367"/>
      <c r="U80" s="336">
        <f t="shared" si="19"/>
        <v>5806.2</v>
      </c>
      <c r="V80" s="333">
        <f t="shared" si="17"/>
        <v>5806.2</v>
      </c>
      <c r="W80" s="332">
        <v>8</v>
      </c>
      <c r="X80" s="333">
        <f t="shared" si="20"/>
        <v>38.707999999999998</v>
      </c>
      <c r="Y80" s="333">
        <f t="shared" si="11"/>
        <v>483.84999999999997</v>
      </c>
      <c r="Z80" s="807"/>
      <c r="AA80" s="711"/>
      <c r="AB80" s="340"/>
      <c r="AC80" s="406"/>
      <c r="AD80" s="459"/>
      <c r="AE80" s="421"/>
      <c r="AF80" s="463"/>
      <c r="AG80" s="459"/>
      <c r="AH80" s="503"/>
      <c r="AI80" s="340"/>
      <c r="AJ80" s="740"/>
      <c r="AK80" s="741"/>
      <c r="AL80" s="732"/>
      <c r="AM80" s="340">
        <f t="shared" si="22"/>
        <v>0</v>
      </c>
      <c r="AN80" s="340">
        <f t="shared" si="23"/>
        <v>0</v>
      </c>
      <c r="AO80" s="406">
        <f t="shared" si="21"/>
        <v>1451.55</v>
      </c>
      <c r="AP80" s="333">
        <f t="shared" si="24"/>
        <v>0</v>
      </c>
      <c r="AQ80" s="689">
        <v>0</v>
      </c>
      <c r="AR80" s="194">
        <v>0</v>
      </c>
      <c r="AS80" s="446">
        <v>41905</v>
      </c>
      <c r="AT80" s="31" t="s">
        <v>1677</v>
      </c>
      <c r="AU80" s="38" t="s">
        <v>1629</v>
      </c>
    </row>
    <row r="81" spans="1:48" ht="300" x14ac:dyDescent="0.25">
      <c r="A81" s="8">
        <v>69</v>
      </c>
      <c r="B81" s="9">
        <v>22</v>
      </c>
      <c r="C81" s="108" t="s">
        <v>214</v>
      </c>
      <c r="D81" s="109" t="s">
        <v>215</v>
      </c>
      <c r="E81" s="115">
        <v>19230777</v>
      </c>
      <c r="F81" s="110">
        <v>6510700000</v>
      </c>
      <c r="G81" s="330" t="s">
        <v>216</v>
      </c>
      <c r="H81" s="110" t="s">
        <v>215</v>
      </c>
      <c r="I81" s="113" t="s">
        <v>2049</v>
      </c>
      <c r="J81" s="109" t="s">
        <v>2050</v>
      </c>
      <c r="K81" s="113" t="s">
        <v>1860</v>
      </c>
      <c r="L81" s="109" t="s">
        <v>2051</v>
      </c>
      <c r="M81" s="112">
        <v>42417</v>
      </c>
      <c r="N81" s="109"/>
      <c r="O81" s="109" t="s">
        <v>8</v>
      </c>
      <c r="P81" s="114">
        <v>5.1999999999999998E-3</v>
      </c>
      <c r="Q81" s="107">
        <f>R81/52</f>
        <v>396.71999999999997</v>
      </c>
      <c r="R81" s="107">
        <v>20629.439999999999</v>
      </c>
      <c r="S81" s="107" t="s">
        <v>2052</v>
      </c>
      <c r="T81" s="369"/>
      <c r="U81" s="344">
        <f t="shared" si="19"/>
        <v>1444.0608</v>
      </c>
      <c r="V81" s="345">
        <f t="shared" si="17"/>
        <v>1444.0608</v>
      </c>
      <c r="W81" s="344">
        <v>7</v>
      </c>
      <c r="X81" s="345">
        <f t="shared" si="20"/>
        <v>27.770399999999999</v>
      </c>
      <c r="Y81" s="345">
        <f t="shared" si="11"/>
        <v>120.33839999999999</v>
      </c>
      <c r="Z81" s="808">
        <v>118</v>
      </c>
      <c r="AA81" s="852">
        <v>120.34</v>
      </c>
      <c r="AB81" s="359">
        <v>120.34</v>
      </c>
      <c r="AC81" s="407">
        <v>120.34</v>
      </c>
      <c r="AD81" s="483"/>
      <c r="AE81" s="422"/>
      <c r="AF81" s="462"/>
      <c r="AG81" s="483"/>
      <c r="AH81" s="502"/>
      <c r="AI81" s="359"/>
      <c r="AJ81" s="762"/>
      <c r="AK81" s="529"/>
      <c r="AL81" s="752"/>
      <c r="AM81" s="340">
        <f t="shared" si="22"/>
        <v>479.02</v>
      </c>
      <c r="AN81" s="340">
        <f t="shared" si="23"/>
        <v>361.02</v>
      </c>
      <c r="AO81" s="468">
        <f t="shared" si="21"/>
        <v>-118.00479999999999</v>
      </c>
      <c r="AP81" s="345">
        <f t="shared" si="24"/>
        <v>33.171733489337846</v>
      </c>
      <c r="AQ81" s="521">
        <v>2593.9400000000005</v>
      </c>
      <c r="AR81" s="685">
        <v>179.62407840987052</v>
      </c>
      <c r="AS81" s="164" t="s">
        <v>2569</v>
      </c>
      <c r="AT81" s="125" t="s">
        <v>1678</v>
      </c>
      <c r="AU81" s="113" t="s">
        <v>1639</v>
      </c>
    </row>
    <row r="82" spans="1:48" ht="131.25" x14ac:dyDescent="0.25">
      <c r="A82" s="8">
        <v>70</v>
      </c>
      <c r="B82" s="115">
        <v>23</v>
      </c>
      <c r="C82" s="96" t="s">
        <v>217</v>
      </c>
      <c r="D82" s="80" t="s">
        <v>218</v>
      </c>
      <c r="E82" s="9">
        <v>34532275</v>
      </c>
      <c r="F82" s="19">
        <v>6510700000</v>
      </c>
      <c r="G82" s="19" t="s">
        <v>219</v>
      </c>
      <c r="H82" s="19" t="s">
        <v>220</v>
      </c>
      <c r="I82" s="75"/>
      <c r="J82" s="10" t="s">
        <v>2669</v>
      </c>
      <c r="K82" s="13"/>
      <c r="L82" s="10" t="s">
        <v>221</v>
      </c>
      <c r="M82" s="20" t="s">
        <v>222</v>
      </c>
      <c r="N82" s="10" t="s">
        <v>223</v>
      </c>
      <c r="O82" s="10" t="s">
        <v>8</v>
      </c>
      <c r="P82" s="27">
        <v>0.4239</v>
      </c>
      <c r="Q82" s="12">
        <v>682.76</v>
      </c>
      <c r="R82" s="12">
        <v>2894219.64</v>
      </c>
      <c r="S82" s="12" t="s">
        <v>224</v>
      </c>
      <c r="T82" s="368"/>
      <c r="U82" s="336">
        <f t="shared" si="19"/>
        <v>347306.35680000001</v>
      </c>
      <c r="V82" s="333">
        <f t="shared" si="17"/>
        <v>347306.35680000001</v>
      </c>
      <c r="W82" s="332">
        <v>12</v>
      </c>
      <c r="X82" s="333">
        <f t="shared" si="20"/>
        <v>81.931200000000004</v>
      </c>
      <c r="Y82" s="333">
        <f t="shared" si="11"/>
        <v>28942.196400000001</v>
      </c>
      <c r="Z82" s="807"/>
      <c r="AA82" s="711">
        <v>28942.2</v>
      </c>
      <c r="AB82" s="340">
        <v>28942.2</v>
      </c>
      <c r="AC82" s="406"/>
      <c r="AD82" s="459"/>
      <c r="AE82" s="421"/>
      <c r="AF82" s="463"/>
      <c r="AG82" s="459"/>
      <c r="AH82" s="503"/>
      <c r="AI82" s="340"/>
      <c r="AJ82" s="740"/>
      <c r="AK82" s="741"/>
      <c r="AL82" s="732"/>
      <c r="AM82" s="340">
        <f t="shared" si="22"/>
        <v>57884.4</v>
      </c>
      <c r="AN82" s="340">
        <f t="shared" si="23"/>
        <v>57884.4</v>
      </c>
      <c r="AO82" s="406">
        <f t="shared" si="21"/>
        <v>28942.189200000001</v>
      </c>
      <c r="AP82" s="333">
        <f t="shared" si="24"/>
        <v>16.66666873976434</v>
      </c>
      <c r="AQ82" s="192">
        <v>341914.95000000007</v>
      </c>
      <c r="AR82" s="194">
        <v>98.447650987538751</v>
      </c>
      <c r="AS82" s="140">
        <v>44650</v>
      </c>
      <c r="AT82" s="11" t="s">
        <v>1670</v>
      </c>
      <c r="AU82" s="13" t="s">
        <v>1679</v>
      </c>
    </row>
    <row r="83" spans="1:48" ht="243.75" x14ac:dyDescent="0.25">
      <c r="A83" s="8">
        <v>71</v>
      </c>
      <c r="B83" s="115">
        <v>24</v>
      </c>
      <c r="C83" s="119" t="s">
        <v>225</v>
      </c>
      <c r="D83" s="120" t="s">
        <v>226</v>
      </c>
      <c r="E83" s="109">
        <v>22751391</v>
      </c>
      <c r="F83" s="110">
        <v>6510700000</v>
      </c>
      <c r="G83" s="110" t="s">
        <v>227</v>
      </c>
      <c r="H83" s="110" t="s">
        <v>228</v>
      </c>
      <c r="I83" s="111" t="s">
        <v>3254</v>
      </c>
      <c r="J83" s="109" t="s">
        <v>231</v>
      </c>
      <c r="K83" s="113" t="s">
        <v>3256</v>
      </c>
      <c r="L83" s="109" t="s">
        <v>231</v>
      </c>
      <c r="M83" s="112" t="s">
        <v>230</v>
      </c>
      <c r="N83" s="112" t="s">
        <v>3255</v>
      </c>
      <c r="O83" s="109" t="s">
        <v>8</v>
      </c>
      <c r="P83" s="114">
        <v>0.43869999999999998</v>
      </c>
      <c r="Q83" s="107">
        <v>146.91</v>
      </c>
      <c r="R83" s="107">
        <v>644494.17000000004</v>
      </c>
      <c r="S83" s="107" t="s">
        <v>232</v>
      </c>
      <c r="T83" s="369"/>
      <c r="U83" s="344">
        <f t="shared" si="19"/>
        <v>19334.825100000002</v>
      </c>
      <c r="V83" s="344">
        <f t="shared" si="17"/>
        <v>19334.825100000002</v>
      </c>
      <c r="W83" s="344">
        <v>3</v>
      </c>
      <c r="X83" s="344">
        <f t="shared" si="20"/>
        <v>4.4073000000000002</v>
      </c>
      <c r="Y83" s="344">
        <f t="shared" si="11"/>
        <v>1611.2354250000001</v>
      </c>
      <c r="Z83" s="840"/>
      <c r="AA83" s="529">
        <v>1611.24</v>
      </c>
      <c r="AB83" s="364"/>
      <c r="AC83" s="407"/>
      <c r="AD83" s="1118">
        <v>1611.24</v>
      </c>
      <c r="AE83" s="364"/>
      <c r="AF83" s="763"/>
      <c r="AG83" s="364"/>
      <c r="AH83" s="364"/>
      <c r="AI83" s="364"/>
      <c r="AJ83" s="762"/>
      <c r="AK83" s="529"/>
      <c r="AL83" s="756"/>
      <c r="AM83" s="340">
        <f t="shared" si="22"/>
        <v>3222.48</v>
      </c>
      <c r="AN83" s="340">
        <f t="shared" si="23"/>
        <v>3222.48</v>
      </c>
      <c r="AO83" s="406">
        <f t="shared" si="21"/>
        <v>1611.2262750000004</v>
      </c>
      <c r="AP83" s="344">
        <f t="shared" si="24"/>
        <v>16.666713990601341</v>
      </c>
      <c r="AQ83" s="521">
        <v>19341.440000000006</v>
      </c>
      <c r="AR83" s="685">
        <v>100.03421236016251</v>
      </c>
      <c r="AS83" s="444">
        <v>45617</v>
      </c>
      <c r="AT83" s="120" t="s">
        <v>1680</v>
      </c>
      <c r="AU83" s="113" t="s">
        <v>1681</v>
      </c>
    </row>
    <row r="84" spans="1:48" ht="150" x14ac:dyDescent="0.25">
      <c r="A84" s="8">
        <v>72</v>
      </c>
      <c r="B84" s="9">
        <v>25</v>
      </c>
      <c r="C84" s="119" t="s">
        <v>233</v>
      </c>
      <c r="D84" s="107" t="s">
        <v>234</v>
      </c>
      <c r="E84" s="115">
        <v>22751114</v>
      </c>
      <c r="F84" s="110">
        <v>6510700000</v>
      </c>
      <c r="G84" s="110" t="s">
        <v>235</v>
      </c>
      <c r="H84" s="110" t="s">
        <v>234</v>
      </c>
      <c r="I84" s="111" t="s">
        <v>236</v>
      </c>
      <c r="J84" s="121" t="s">
        <v>237</v>
      </c>
      <c r="K84" s="111" t="s">
        <v>238</v>
      </c>
      <c r="L84" s="121" t="s">
        <v>239</v>
      </c>
      <c r="M84" s="126" t="s">
        <v>240</v>
      </c>
      <c r="N84" s="121" t="s">
        <v>3454</v>
      </c>
      <c r="O84" s="109" t="s">
        <v>8</v>
      </c>
      <c r="P84" s="114">
        <v>1.4618</v>
      </c>
      <c r="Q84" s="107">
        <v>281.89999999999998</v>
      </c>
      <c r="R84" s="107">
        <v>4120814.1999999997</v>
      </c>
      <c r="S84" s="107" t="s">
        <v>241</v>
      </c>
      <c r="T84" s="369"/>
      <c r="U84" s="581">
        <f t="shared" si="19"/>
        <v>41208.142</v>
      </c>
      <c r="V84" s="581">
        <f t="shared" si="17"/>
        <v>41208.142</v>
      </c>
      <c r="W84" s="581">
        <v>1</v>
      </c>
      <c r="X84" s="345">
        <f t="shared" si="20"/>
        <v>2.819</v>
      </c>
      <c r="Y84" s="345">
        <f t="shared" si="11"/>
        <v>3434.0118333333335</v>
      </c>
      <c r="Z84" s="807"/>
      <c r="AA84" s="711"/>
      <c r="AB84" s="340">
        <v>8300</v>
      </c>
      <c r="AC84" s="406"/>
      <c r="AD84" s="459"/>
      <c r="AE84" s="463"/>
      <c r="AF84" s="463"/>
      <c r="AG84" s="459"/>
      <c r="AH84" s="503"/>
      <c r="AI84" s="340"/>
      <c r="AJ84" s="740"/>
      <c r="AK84" s="741"/>
      <c r="AL84" s="732"/>
      <c r="AM84" s="340">
        <f t="shared" si="22"/>
        <v>8300</v>
      </c>
      <c r="AN84" s="340">
        <f t="shared" si="23"/>
        <v>8300</v>
      </c>
      <c r="AO84" s="468"/>
      <c r="AP84" s="333">
        <f t="shared" si="24"/>
        <v>20.141650647583187</v>
      </c>
      <c r="AQ84" s="521">
        <v>37700.461833333335</v>
      </c>
      <c r="AR84" s="194">
        <v>91.487895361390798</v>
      </c>
      <c r="AS84" s="444" t="s">
        <v>2556</v>
      </c>
      <c r="AT84" s="120" t="s">
        <v>1682</v>
      </c>
      <c r="AU84" s="113" t="s">
        <v>1639</v>
      </c>
    </row>
    <row r="85" spans="1:48" ht="150" x14ac:dyDescent="0.25">
      <c r="A85" s="8">
        <v>73</v>
      </c>
      <c r="B85" s="115"/>
      <c r="C85" s="119" t="s">
        <v>233</v>
      </c>
      <c r="D85" s="107" t="s">
        <v>234</v>
      </c>
      <c r="E85" s="115">
        <v>22751114</v>
      </c>
      <c r="F85" s="110">
        <v>6510700000</v>
      </c>
      <c r="G85" s="110" t="s">
        <v>242</v>
      </c>
      <c r="H85" s="110" t="s">
        <v>243</v>
      </c>
      <c r="I85" s="111" t="s">
        <v>133</v>
      </c>
      <c r="J85" s="121" t="s">
        <v>244</v>
      </c>
      <c r="K85" s="111" t="s">
        <v>245</v>
      </c>
      <c r="L85" s="121" t="s">
        <v>246</v>
      </c>
      <c r="M85" s="126" t="s">
        <v>247</v>
      </c>
      <c r="N85" s="121" t="s">
        <v>3453</v>
      </c>
      <c r="O85" s="109" t="s">
        <v>8</v>
      </c>
      <c r="P85" s="114">
        <v>0.30649999999999999</v>
      </c>
      <c r="Q85" s="107">
        <v>281.89999999999998</v>
      </c>
      <c r="R85" s="107">
        <v>864023.49999999988</v>
      </c>
      <c r="S85" s="107" t="s">
        <v>248</v>
      </c>
      <c r="T85" s="369"/>
      <c r="U85" s="581">
        <f t="shared" si="19"/>
        <v>8640.2349999999988</v>
      </c>
      <c r="V85" s="581">
        <f t="shared" si="17"/>
        <v>8640.2349999999988</v>
      </c>
      <c r="W85" s="581">
        <v>1</v>
      </c>
      <c r="X85" s="345">
        <f t="shared" si="20"/>
        <v>2.8189999999999995</v>
      </c>
      <c r="Y85" s="345">
        <f t="shared" si="11"/>
        <v>720.01958333333323</v>
      </c>
      <c r="Z85" s="807"/>
      <c r="AA85" s="711"/>
      <c r="AB85" s="340"/>
      <c r="AC85" s="406"/>
      <c r="AD85" s="459"/>
      <c r="AE85" s="421"/>
      <c r="AF85" s="463"/>
      <c r="AG85" s="459"/>
      <c r="AH85" s="503"/>
      <c r="AI85" s="340"/>
      <c r="AJ85" s="740"/>
      <c r="AK85" s="741"/>
      <c r="AL85" s="732"/>
      <c r="AM85" s="340">
        <f t="shared" si="22"/>
        <v>0</v>
      </c>
      <c r="AN85" s="340">
        <f t="shared" si="23"/>
        <v>0</v>
      </c>
      <c r="AO85" s="468"/>
      <c r="AP85" s="333">
        <f t="shared" si="24"/>
        <v>0</v>
      </c>
      <c r="AQ85" s="521">
        <v>7175.8195833333339</v>
      </c>
      <c r="AR85" s="194">
        <v>83.05120848371989</v>
      </c>
      <c r="AS85" s="444">
        <v>45224</v>
      </c>
      <c r="AT85" s="120" t="s">
        <v>1683</v>
      </c>
      <c r="AU85" s="113" t="s">
        <v>1639</v>
      </c>
    </row>
    <row r="86" spans="1:48" ht="150" x14ac:dyDescent="0.25">
      <c r="A86" s="8">
        <v>74</v>
      </c>
      <c r="B86" s="9"/>
      <c r="C86" s="277" t="s">
        <v>233</v>
      </c>
      <c r="D86" s="289" t="s">
        <v>234</v>
      </c>
      <c r="E86" s="266">
        <v>22751114</v>
      </c>
      <c r="F86" s="270">
        <v>6510700000</v>
      </c>
      <c r="G86" s="270" t="s">
        <v>2330</v>
      </c>
      <c r="H86" s="270" t="s">
        <v>2331</v>
      </c>
      <c r="I86" s="271" t="s">
        <v>2332</v>
      </c>
      <c r="J86" s="287" t="s">
        <v>2333</v>
      </c>
      <c r="K86" s="271" t="s">
        <v>2334</v>
      </c>
      <c r="L86" s="287" t="s">
        <v>2335</v>
      </c>
      <c r="M86" s="300" t="s">
        <v>2336</v>
      </c>
      <c r="N86" s="287"/>
      <c r="O86" s="265" t="s">
        <v>8</v>
      </c>
      <c r="P86" s="268">
        <v>1.0913999999999999</v>
      </c>
      <c r="Q86" s="269">
        <f>R86/10914</f>
        <v>288.09999999999997</v>
      </c>
      <c r="R86" s="269">
        <v>3144323.4</v>
      </c>
      <c r="S86" s="269" t="s">
        <v>2337</v>
      </c>
      <c r="T86" s="374">
        <v>33015.43</v>
      </c>
      <c r="U86" s="581">
        <v>33015.43</v>
      </c>
      <c r="V86" s="581">
        <f t="shared" si="17"/>
        <v>33015.43</v>
      </c>
      <c r="W86" s="581">
        <v>1.05</v>
      </c>
      <c r="X86" s="344">
        <f>U86/(P86*10000)</f>
        <v>3.0250531427524283</v>
      </c>
      <c r="Y86" s="344">
        <f t="shared" si="11"/>
        <v>2751.2858333333334</v>
      </c>
      <c r="Z86" s="840"/>
      <c r="AA86" s="475"/>
      <c r="AB86" s="410"/>
      <c r="AC86" s="408"/>
      <c r="AD86" s="486"/>
      <c r="AE86" s="437"/>
      <c r="AF86" s="469"/>
      <c r="AG86" s="486"/>
      <c r="AH86" s="504"/>
      <c r="AI86" s="410"/>
      <c r="AJ86" s="560"/>
      <c r="AK86" s="475"/>
      <c r="AL86" s="561"/>
      <c r="AM86" s="340">
        <f t="shared" si="22"/>
        <v>0</v>
      </c>
      <c r="AN86" s="340">
        <f t="shared" si="23"/>
        <v>0</v>
      </c>
      <c r="AO86" s="468"/>
      <c r="AP86" s="349">
        <f t="shared" si="24"/>
        <v>0</v>
      </c>
      <c r="AQ86" s="690">
        <v>10555.630000000001</v>
      </c>
      <c r="AR86" s="691">
        <v>48.347533667203777</v>
      </c>
      <c r="AS86" s="450" t="s">
        <v>2552</v>
      </c>
      <c r="AT86" s="278" t="s">
        <v>2338</v>
      </c>
      <c r="AU86" s="267" t="s">
        <v>1797</v>
      </c>
    </row>
    <row r="87" spans="1:48" ht="21" x14ac:dyDescent="0.25">
      <c r="A87" s="1167"/>
      <c r="B87" s="1167"/>
      <c r="C87" s="1278"/>
      <c r="D87" s="1295"/>
      <c r="E87" s="1167"/>
      <c r="F87" s="1171"/>
      <c r="G87" s="1171"/>
      <c r="H87" s="1171"/>
      <c r="I87" s="1172"/>
      <c r="J87" s="1173"/>
      <c r="K87" s="1172"/>
      <c r="L87" s="1173"/>
      <c r="M87" s="1174"/>
      <c r="N87" s="1173"/>
      <c r="O87" s="1170"/>
      <c r="P87" s="1280"/>
      <c r="Q87" s="1177"/>
      <c r="R87" s="1177"/>
      <c r="S87" s="1177"/>
      <c r="T87" s="1178"/>
      <c r="U87" s="1164"/>
      <c r="V87" s="1164">
        <f>V84+V85+V86</f>
        <v>82863.807000000001</v>
      </c>
      <c r="W87" s="1164"/>
      <c r="X87" s="1164"/>
      <c r="Y87" s="1164">
        <f>V87/12</f>
        <v>6905.3172500000001</v>
      </c>
      <c r="Z87" s="1165"/>
      <c r="AA87" s="1166"/>
      <c r="AB87" s="1166"/>
      <c r="AC87" s="1179"/>
      <c r="AD87" s="1180"/>
      <c r="AE87" s="1212"/>
      <c r="AF87" s="1215"/>
      <c r="AG87" s="1180"/>
      <c r="AH87" s="1282"/>
      <c r="AI87" s="1166"/>
      <c r="AJ87" s="1181"/>
      <c r="AK87" s="1166"/>
      <c r="AL87" s="1182"/>
      <c r="AM87" s="1183">
        <f>AM84+AM85+AM86</f>
        <v>8300</v>
      </c>
      <c r="AN87" s="1183"/>
      <c r="AO87" s="1179">
        <f t="shared" ref="AO87" si="25">(Y87*3)-AM87</f>
        <v>12415.95175</v>
      </c>
      <c r="AP87" s="1164"/>
      <c r="AQ87" s="1184"/>
      <c r="AR87" s="1185"/>
      <c r="AS87" s="1186"/>
      <c r="AT87" s="1286"/>
      <c r="AU87" s="1188"/>
    </row>
    <row r="88" spans="1:48" ht="206.25" x14ac:dyDescent="0.25">
      <c r="A88" s="8">
        <v>75</v>
      </c>
      <c r="B88" s="266">
        <v>26</v>
      </c>
      <c r="C88" s="513" t="s">
        <v>2512</v>
      </c>
      <c r="D88" s="120" t="s">
        <v>252</v>
      </c>
      <c r="E88" s="109">
        <v>37339531</v>
      </c>
      <c r="F88" s="110">
        <v>6510700000</v>
      </c>
      <c r="G88" s="110" t="s">
        <v>249</v>
      </c>
      <c r="H88" s="110" t="s">
        <v>250</v>
      </c>
      <c r="I88" s="111" t="s">
        <v>2226</v>
      </c>
      <c r="J88" s="109" t="s">
        <v>2769</v>
      </c>
      <c r="K88" s="113" t="s">
        <v>2227</v>
      </c>
      <c r="L88" s="109" t="s">
        <v>2770</v>
      </c>
      <c r="M88" s="112" t="s">
        <v>251</v>
      </c>
      <c r="N88" s="112">
        <v>43692</v>
      </c>
      <c r="O88" s="109" t="s">
        <v>8</v>
      </c>
      <c r="P88" s="114">
        <v>2.2532999999999999</v>
      </c>
      <c r="Q88" s="107">
        <f>R88/22533</f>
        <v>149.82065148892735</v>
      </c>
      <c r="R88" s="107">
        <v>3375908.74</v>
      </c>
      <c r="S88" s="107" t="s">
        <v>2424</v>
      </c>
      <c r="T88" s="369"/>
      <c r="U88" s="344">
        <f t="shared" ref="U88:U99" si="26">R88*W88%</f>
        <v>405109.04879999999</v>
      </c>
      <c r="V88" s="344">
        <f t="shared" si="17"/>
        <v>405109.04879999999</v>
      </c>
      <c r="W88" s="344">
        <v>12</v>
      </c>
      <c r="X88" s="344">
        <f>U88/(P88*10000)</f>
        <v>17.978478178671281</v>
      </c>
      <c r="Y88" s="345">
        <f t="shared" si="11"/>
        <v>33759.087399999997</v>
      </c>
      <c r="Z88" s="807"/>
      <c r="AA88" s="852"/>
      <c r="AB88" s="359"/>
      <c r="AC88" s="407"/>
      <c r="AD88" s="483"/>
      <c r="AE88" s="422"/>
      <c r="AF88" s="462"/>
      <c r="AG88" s="483"/>
      <c r="AH88" s="502"/>
      <c r="AI88" s="359"/>
      <c r="AJ88" s="751"/>
      <c r="AK88" s="529"/>
      <c r="AL88" s="752"/>
      <c r="AM88" s="340">
        <f t="shared" si="22"/>
        <v>0</v>
      </c>
      <c r="AN88" s="340">
        <f t="shared" si="23"/>
        <v>0</v>
      </c>
      <c r="AO88" s="468"/>
      <c r="AP88" s="345">
        <f t="shared" si="24"/>
        <v>0</v>
      </c>
      <c r="AQ88" s="521">
        <v>324817.71999999997</v>
      </c>
      <c r="AR88" s="685">
        <v>80.180317117616553</v>
      </c>
      <c r="AS88" s="164">
        <v>44510</v>
      </c>
      <c r="AT88" s="125" t="s">
        <v>1684</v>
      </c>
      <c r="AU88" s="113" t="s">
        <v>1639</v>
      </c>
      <c r="AV88" s="306" t="s">
        <v>2071</v>
      </c>
    </row>
    <row r="89" spans="1:48" ht="225" x14ac:dyDescent="0.25">
      <c r="A89" s="8">
        <v>76</v>
      </c>
      <c r="B89" s="9">
        <v>27</v>
      </c>
      <c r="C89" s="513" t="s">
        <v>2512</v>
      </c>
      <c r="D89" s="120" t="s">
        <v>252</v>
      </c>
      <c r="E89" s="109">
        <v>37339531</v>
      </c>
      <c r="F89" s="110">
        <v>6510700000</v>
      </c>
      <c r="G89" s="110" t="s">
        <v>253</v>
      </c>
      <c r="H89" s="110" t="s">
        <v>254</v>
      </c>
      <c r="I89" s="111" t="s">
        <v>61</v>
      </c>
      <c r="J89" s="109" t="s">
        <v>255</v>
      </c>
      <c r="K89" s="113" t="s">
        <v>1425</v>
      </c>
      <c r="L89" s="109" t="s">
        <v>256</v>
      </c>
      <c r="M89" s="112" t="s">
        <v>257</v>
      </c>
      <c r="N89" s="109" t="s">
        <v>2513</v>
      </c>
      <c r="O89" s="109" t="s">
        <v>8</v>
      </c>
      <c r="P89" s="114">
        <v>8.8629999999999995</v>
      </c>
      <c r="Q89" s="107">
        <f>R89/88630</f>
        <v>336.35</v>
      </c>
      <c r="R89" s="107">
        <v>29810700.5</v>
      </c>
      <c r="S89" s="107" t="s">
        <v>2425</v>
      </c>
      <c r="T89" s="369"/>
      <c r="U89" s="344">
        <f t="shared" si="26"/>
        <v>3577284.06</v>
      </c>
      <c r="V89" s="344">
        <f t="shared" si="17"/>
        <v>3577284.06</v>
      </c>
      <c r="W89" s="344">
        <v>12</v>
      </c>
      <c r="X89" s="344">
        <f>U89/(P89*10000)</f>
        <v>40.362000000000002</v>
      </c>
      <c r="Y89" s="345">
        <f t="shared" si="11"/>
        <v>298107.005</v>
      </c>
      <c r="Z89" s="807"/>
      <c r="AA89" s="852"/>
      <c r="AB89" s="359"/>
      <c r="AC89" s="407"/>
      <c r="AD89" s="483"/>
      <c r="AE89" s="422"/>
      <c r="AF89" s="462"/>
      <c r="AG89" s="483"/>
      <c r="AH89" s="502"/>
      <c r="AI89" s="359"/>
      <c r="AJ89" s="751"/>
      <c r="AK89" s="529"/>
      <c r="AL89" s="752"/>
      <c r="AM89" s="340">
        <f t="shared" si="22"/>
        <v>0</v>
      </c>
      <c r="AN89" s="340">
        <f t="shared" si="23"/>
        <v>0</v>
      </c>
      <c r="AO89" s="468"/>
      <c r="AP89" s="345">
        <f t="shared" si="24"/>
        <v>0</v>
      </c>
      <c r="AQ89" s="521">
        <v>1192428</v>
      </c>
      <c r="AR89" s="685">
        <v>33.333332774249968</v>
      </c>
      <c r="AS89" s="164">
        <v>43814</v>
      </c>
      <c r="AT89" s="125" t="s">
        <v>1685</v>
      </c>
      <c r="AU89" s="113" t="s">
        <v>1634</v>
      </c>
    </row>
    <row r="90" spans="1:48" ht="18.75" x14ac:dyDescent="0.25">
      <c r="A90" s="1119"/>
      <c r="B90" s="1119"/>
      <c r="C90" s="1296"/>
      <c r="D90" s="1148"/>
      <c r="E90" s="1131"/>
      <c r="F90" s="1132"/>
      <c r="G90" s="1132"/>
      <c r="H90" s="1132"/>
      <c r="I90" s="1133"/>
      <c r="J90" s="1144"/>
      <c r="K90" s="1145"/>
      <c r="L90" s="1144"/>
      <c r="M90" s="1147"/>
      <c r="N90" s="1144"/>
      <c r="O90" s="1131"/>
      <c r="P90" s="1135"/>
      <c r="Q90" s="163"/>
      <c r="R90" s="163"/>
      <c r="S90" s="163"/>
      <c r="T90" s="1125"/>
      <c r="U90" s="1161"/>
      <c r="V90" s="1161">
        <f>V88+V89</f>
        <v>3982393.1088</v>
      </c>
      <c r="W90" s="1161"/>
      <c r="X90" s="1161"/>
      <c r="Y90" s="1267">
        <f>Y88+Y89</f>
        <v>331866.09240000002</v>
      </c>
      <c r="Z90" s="1268"/>
      <c r="AA90" s="1269"/>
      <c r="AB90" s="1269"/>
      <c r="AC90" s="1270"/>
      <c r="AD90" s="1271"/>
      <c r="AE90" s="1272"/>
      <c r="AF90" s="1273"/>
      <c r="AG90" s="1271"/>
      <c r="AH90" s="1274"/>
      <c r="AI90" s="1269"/>
      <c r="AJ90" s="1275"/>
      <c r="AK90" s="1163"/>
      <c r="AL90" s="1276"/>
      <c r="AM90" s="1269">
        <f>AM88+AM89</f>
        <v>0</v>
      </c>
      <c r="AN90" s="1269"/>
      <c r="AO90" s="1270">
        <f t="shared" ref="AO90" si="27">(Y90*3)-AM90</f>
        <v>995598.27720000013</v>
      </c>
      <c r="AP90" s="1267">
        <f t="shared" si="24"/>
        <v>0</v>
      </c>
      <c r="AQ90" s="1140"/>
      <c r="AR90" s="1141"/>
      <c r="AS90" s="1142"/>
      <c r="AT90" s="1160"/>
      <c r="AU90" s="1134"/>
    </row>
    <row r="91" spans="1:48" ht="409.5" x14ac:dyDescent="0.25">
      <c r="A91" s="8">
        <v>77</v>
      </c>
      <c r="B91" s="9">
        <v>28</v>
      </c>
      <c r="C91" s="98" t="s">
        <v>259</v>
      </c>
      <c r="D91" s="17"/>
      <c r="E91" s="9">
        <v>33246433</v>
      </c>
      <c r="F91" s="19">
        <v>6510700000</v>
      </c>
      <c r="G91" s="19" t="s">
        <v>30</v>
      </c>
      <c r="H91" s="19" t="s">
        <v>260</v>
      </c>
      <c r="I91" s="75"/>
      <c r="J91" s="28" t="s">
        <v>258</v>
      </c>
      <c r="K91" s="72"/>
      <c r="L91" s="28"/>
      <c r="M91" s="61" t="s">
        <v>261</v>
      </c>
      <c r="N91" s="28"/>
      <c r="O91" s="10" t="s">
        <v>8</v>
      </c>
      <c r="P91" s="27">
        <v>0.35249999999999998</v>
      </c>
      <c r="Q91" s="12">
        <v>216.57</v>
      </c>
      <c r="R91" s="12">
        <v>763409.25</v>
      </c>
      <c r="S91" s="12"/>
      <c r="T91" s="368"/>
      <c r="U91" s="336">
        <f t="shared" si="26"/>
        <v>38170.462500000001</v>
      </c>
      <c r="V91" s="333">
        <f t="shared" si="17"/>
        <v>38170.462500000001</v>
      </c>
      <c r="W91" s="332">
        <v>5</v>
      </c>
      <c r="X91" s="333">
        <f t="shared" ref="X91:X131" si="28">V91/(P91*10000)</f>
        <v>10.8285</v>
      </c>
      <c r="Y91" s="333">
        <f t="shared" si="11"/>
        <v>3180.8718750000003</v>
      </c>
      <c r="Z91" s="807"/>
      <c r="AA91" s="711"/>
      <c r="AB91" s="340"/>
      <c r="AC91" s="406"/>
      <c r="AD91" s="459"/>
      <c r="AE91" s="421"/>
      <c r="AF91" s="463"/>
      <c r="AG91" s="459"/>
      <c r="AH91" s="503"/>
      <c r="AI91" s="340"/>
      <c r="AJ91" s="740"/>
      <c r="AK91" s="741"/>
      <c r="AL91" s="732"/>
      <c r="AM91" s="340">
        <f t="shared" si="22"/>
        <v>0</v>
      </c>
      <c r="AN91" s="340">
        <f t="shared" si="23"/>
        <v>0</v>
      </c>
      <c r="AO91" s="468"/>
      <c r="AP91" s="333">
        <f t="shared" si="24"/>
        <v>0</v>
      </c>
      <c r="AQ91" s="192">
        <v>0</v>
      </c>
      <c r="AR91" s="194">
        <v>0</v>
      </c>
      <c r="AS91" s="473">
        <v>5</v>
      </c>
      <c r="AT91" s="11" t="s">
        <v>1686</v>
      </c>
      <c r="AU91" s="13"/>
    </row>
    <row r="92" spans="1:48" ht="409.5" x14ac:dyDescent="0.25">
      <c r="A92" s="8">
        <v>78</v>
      </c>
      <c r="B92" s="9"/>
      <c r="C92" s="98" t="s">
        <v>259</v>
      </c>
      <c r="D92" s="17"/>
      <c r="E92" s="9">
        <v>33246433</v>
      </c>
      <c r="F92" s="19">
        <v>6510700000</v>
      </c>
      <c r="G92" s="19" t="s">
        <v>30</v>
      </c>
      <c r="H92" s="19" t="s">
        <v>262</v>
      </c>
      <c r="I92" s="75"/>
      <c r="J92" s="28" t="s">
        <v>263</v>
      </c>
      <c r="K92" s="72"/>
      <c r="L92" s="28"/>
      <c r="M92" s="61" t="s">
        <v>261</v>
      </c>
      <c r="N92" s="28"/>
      <c r="O92" s="10" t="s">
        <v>8</v>
      </c>
      <c r="P92" s="27">
        <v>4.0778999999999996</v>
      </c>
      <c r="Q92" s="12">
        <v>216.57</v>
      </c>
      <c r="R92" s="12">
        <v>8831508.0299999993</v>
      </c>
      <c r="S92" s="12"/>
      <c r="T92" s="368"/>
      <c r="U92" s="336">
        <f t="shared" si="26"/>
        <v>441575.40149999998</v>
      </c>
      <c r="V92" s="333">
        <f t="shared" si="17"/>
        <v>441575.40149999998</v>
      </c>
      <c r="W92" s="332">
        <v>5</v>
      </c>
      <c r="X92" s="333">
        <f t="shared" si="28"/>
        <v>10.8285</v>
      </c>
      <c r="Y92" s="333">
        <f t="shared" si="11"/>
        <v>36797.950124999996</v>
      </c>
      <c r="Z92" s="807"/>
      <c r="AA92" s="711"/>
      <c r="AB92" s="340"/>
      <c r="AC92" s="406"/>
      <c r="AD92" s="459"/>
      <c r="AE92" s="421"/>
      <c r="AF92" s="463"/>
      <c r="AG92" s="459"/>
      <c r="AH92" s="503"/>
      <c r="AI92" s="340"/>
      <c r="AJ92" s="740"/>
      <c r="AK92" s="741"/>
      <c r="AL92" s="732"/>
      <c r="AM92" s="340">
        <f t="shared" si="22"/>
        <v>0</v>
      </c>
      <c r="AN92" s="340">
        <f t="shared" si="23"/>
        <v>0</v>
      </c>
      <c r="AO92" s="468"/>
      <c r="AP92" s="333">
        <f t="shared" si="24"/>
        <v>0</v>
      </c>
      <c r="AQ92" s="192">
        <v>0</v>
      </c>
      <c r="AR92" s="194">
        <v>0</v>
      </c>
      <c r="AS92" s="473">
        <v>5</v>
      </c>
      <c r="AT92" s="11" t="s">
        <v>1687</v>
      </c>
      <c r="AU92" s="13"/>
    </row>
    <row r="93" spans="1:48" ht="409.5" x14ac:dyDescent="0.25">
      <c r="A93" s="8">
        <v>79</v>
      </c>
      <c r="B93" s="9"/>
      <c r="C93" s="98" t="s">
        <v>259</v>
      </c>
      <c r="D93" s="17"/>
      <c r="E93" s="9">
        <v>33246433</v>
      </c>
      <c r="F93" s="19">
        <v>6510700000</v>
      </c>
      <c r="G93" s="19" t="s">
        <v>30</v>
      </c>
      <c r="H93" s="19" t="s">
        <v>264</v>
      </c>
      <c r="I93" s="75"/>
      <c r="J93" s="28" t="s">
        <v>265</v>
      </c>
      <c r="K93" s="72"/>
      <c r="L93" s="28"/>
      <c r="M93" s="61" t="s">
        <v>261</v>
      </c>
      <c r="N93" s="28"/>
      <c r="O93" s="10" t="s">
        <v>8</v>
      </c>
      <c r="P93" s="27">
        <v>4.4577999999999998</v>
      </c>
      <c r="Q93" s="12">
        <v>216.57</v>
      </c>
      <c r="R93" s="12">
        <v>9654257.459999999</v>
      </c>
      <c r="S93" s="12"/>
      <c r="T93" s="368"/>
      <c r="U93" s="336">
        <f t="shared" si="26"/>
        <v>482712.87299999996</v>
      </c>
      <c r="V93" s="333">
        <f t="shared" si="17"/>
        <v>482712.87299999996</v>
      </c>
      <c r="W93" s="332">
        <v>5</v>
      </c>
      <c r="X93" s="333">
        <f t="shared" si="28"/>
        <v>10.8285</v>
      </c>
      <c r="Y93" s="333">
        <f t="shared" si="11"/>
        <v>40226.072749999999</v>
      </c>
      <c r="Z93" s="807"/>
      <c r="AA93" s="711"/>
      <c r="AB93" s="340"/>
      <c r="AC93" s="406"/>
      <c r="AD93" s="459"/>
      <c r="AE93" s="421"/>
      <c r="AF93" s="463"/>
      <c r="AG93" s="459"/>
      <c r="AH93" s="503"/>
      <c r="AI93" s="340"/>
      <c r="AJ93" s="740"/>
      <c r="AK93" s="741"/>
      <c r="AL93" s="732"/>
      <c r="AM93" s="340">
        <f t="shared" si="22"/>
        <v>0</v>
      </c>
      <c r="AN93" s="340">
        <f t="shared" si="23"/>
        <v>0</v>
      </c>
      <c r="AO93" s="468"/>
      <c r="AP93" s="333">
        <f t="shared" si="24"/>
        <v>0</v>
      </c>
      <c r="AQ93" s="192">
        <v>0</v>
      </c>
      <c r="AR93" s="194">
        <v>0</v>
      </c>
      <c r="AS93" s="473">
        <v>5</v>
      </c>
      <c r="AT93" s="11" t="s">
        <v>1688</v>
      </c>
      <c r="AU93" s="13"/>
    </row>
    <row r="94" spans="1:48" ht="300" x14ac:dyDescent="0.25">
      <c r="A94" s="8">
        <v>80</v>
      </c>
      <c r="B94" s="9"/>
      <c r="C94" s="104" t="s">
        <v>259</v>
      </c>
      <c r="D94" s="51"/>
      <c r="E94" s="9">
        <v>33246433</v>
      </c>
      <c r="F94" s="19">
        <v>6510700000</v>
      </c>
      <c r="G94" s="9" t="s">
        <v>30</v>
      </c>
      <c r="H94" s="9" t="s">
        <v>266</v>
      </c>
      <c r="I94" s="13"/>
      <c r="J94" s="13" t="s">
        <v>267</v>
      </c>
      <c r="K94" s="13"/>
      <c r="L94" s="13"/>
      <c r="M94" s="20" t="s">
        <v>268</v>
      </c>
      <c r="N94" s="13"/>
      <c r="O94" s="10" t="s">
        <v>8</v>
      </c>
      <c r="P94" s="27">
        <v>4.4001999999999999</v>
      </c>
      <c r="Q94" s="39">
        <v>216.57</v>
      </c>
      <c r="R94" s="12">
        <v>9529513.1400000006</v>
      </c>
      <c r="S94" s="10"/>
      <c r="T94" s="368"/>
      <c r="U94" s="336">
        <f t="shared" si="26"/>
        <v>476475.65700000006</v>
      </c>
      <c r="V94" s="333">
        <f t="shared" si="17"/>
        <v>476475.65700000006</v>
      </c>
      <c r="W94" s="332">
        <v>5</v>
      </c>
      <c r="X94" s="333">
        <f t="shared" si="28"/>
        <v>10.828500000000002</v>
      </c>
      <c r="Y94" s="333">
        <f t="shared" si="11"/>
        <v>39706.304750000003</v>
      </c>
      <c r="Z94" s="807"/>
      <c r="AA94" s="711"/>
      <c r="AB94" s="340"/>
      <c r="AC94" s="406"/>
      <c r="AD94" s="459"/>
      <c r="AE94" s="421"/>
      <c r="AF94" s="463"/>
      <c r="AG94" s="459"/>
      <c r="AH94" s="503"/>
      <c r="AI94" s="340"/>
      <c r="AJ94" s="740"/>
      <c r="AK94" s="741"/>
      <c r="AL94" s="732"/>
      <c r="AM94" s="340">
        <f t="shared" si="22"/>
        <v>0</v>
      </c>
      <c r="AN94" s="340">
        <f t="shared" si="23"/>
        <v>0</v>
      </c>
      <c r="AO94" s="468"/>
      <c r="AP94" s="333">
        <f t="shared" si="24"/>
        <v>0</v>
      </c>
      <c r="AQ94" s="192">
        <v>0</v>
      </c>
      <c r="AR94" s="416">
        <v>0</v>
      </c>
      <c r="AS94" s="473">
        <v>5</v>
      </c>
      <c r="AT94" s="23" t="s">
        <v>1689</v>
      </c>
      <c r="AU94" s="13"/>
    </row>
    <row r="95" spans="1:48" ht="168.75" x14ac:dyDescent="0.25">
      <c r="A95" s="8">
        <v>81</v>
      </c>
      <c r="B95" s="9"/>
      <c r="C95" s="96" t="s">
        <v>259</v>
      </c>
      <c r="D95" s="10"/>
      <c r="E95" s="9">
        <v>33246433</v>
      </c>
      <c r="F95" s="19">
        <v>6510700000</v>
      </c>
      <c r="G95" s="19" t="s">
        <v>30</v>
      </c>
      <c r="H95" s="19" t="s">
        <v>269</v>
      </c>
      <c r="I95" s="75"/>
      <c r="J95" s="13" t="s">
        <v>270</v>
      </c>
      <c r="K95" s="52"/>
      <c r="L95" s="52"/>
      <c r="M95" s="319" t="s">
        <v>271</v>
      </c>
      <c r="N95" s="52"/>
      <c r="O95" s="24" t="s">
        <v>8</v>
      </c>
      <c r="P95" s="53">
        <v>0.22819999999999999</v>
      </c>
      <c r="Q95" s="54">
        <v>240.66</v>
      </c>
      <c r="R95" s="12">
        <v>549186.12</v>
      </c>
      <c r="S95" s="12"/>
      <c r="T95" s="368"/>
      <c r="U95" s="336">
        <f t="shared" si="26"/>
        <v>27459.306</v>
      </c>
      <c r="V95" s="333">
        <f t="shared" si="17"/>
        <v>27459.306</v>
      </c>
      <c r="W95" s="332">
        <v>5</v>
      </c>
      <c r="X95" s="333">
        <f t="shared" si="28"/>
        <v>12.032999999999999</v>
      </c>
      <c r="Y95" s="333">
        <f t="shared" si="11"/>
        <v>2288.2755000000002</v>
      </c>
      <c r="Z95" s="807"/>
      <c r="AA95" s="711"/>
      <c r="AB95" s="340"/>
      <c r="AC95" s="406"/>
      <c r="AD95" s="459"/>
      <c r="AE95" s="421"/>
      <c r="AF95" s="463"/>
      <c r="AG95" s="459"/>
      <c r="AH95" s="503"/>
      <c r="AI95" s="340"/>
      <c r="AJ95" s="740"/>
      <c r="AK95" s="741"/>
      <c r="AL95" s="732"/>
      <c r="AM95" s="340">
        <f t="shared" si="22"/>
        <v>0</v>
      </c>
      <c r="AN95" s="340">
        <f t="shared" si="23"/>
        <v>0</v>
      </c>
      <c r="AO95" s="468"/>
      <c r="AP95" s="333">
        <f t="shared" si="24"/>
        <v>0</v>
      </c>
      <c r="AQ95" s="192">
        <v>0</v>
      </c>
      <c r="AR95" s="194">
        <v>0</v>
      </c>
      <c r="AS95" s="473">
        <v>5</v>
      </c>
      <c r="AT95" s="55" t="s">
        <v>1690</v>
      </c>
      <c r="AU95" s="13"/>
    </row>
    <row r="96" spans="1:48" ht="262.5" x14ac:dyDescent="0.25">
      <c r="A96" s="8">
        <v>82</v>
      </c>
      <c r="B96" s="9"/>
      <c r="C96" s="96" t="s">
        <v>259</v>
      </c>
      <c r="D96" s="10"/>
      <c r="E96" s="9">
        <v>33246433</v>
      </c>
      <c r="F96" s="19">
        <v>6510700000</v>
      </c>
      <c r="G96" s="19" t="s">
        <v>272</v>
      </c>
      <c r="H96" s="19" t="s">
        <v>273</v>
      </c>
      <c r="I96" s="75"/>
      <c r="J96" s="10" t="s">
        <v>274</v>
      </c>
      <c r="K96" s="13"/>
      <c r="L96" s="10"/>
      <c r="M96" s="20" t="s">
        <v>275</v>
      </c>
      <c r="N96" s="10"/>
      <c r="O96" s="10" t="s">
        <v>8</v>
      </c>
      <c r="P96" s="27">
        <v>0.3896</v>
      </c>
      <c r="Q96" s="12">
        <v>75.38</v>
      </c>
      <c r="R96" s="12">
        <v>293680.48</v>
      </c>
      <c r="S96" s="12"/>
      <c r="T96" s="368"/>
      <c r="U96" s="336">
        <f t="shared" si="26"/>
        <v>14684.023999999999</v>
      </c>
      <c r="V96" s="333">
        <f t="shared" si="17"/>
        <v>14684.023999999999</v>
      </c>
      <c r="W96" s="332">
        <v>5</v>
      </c>
      <c r="X96" s="333">
        <f t="shared" si="28"/>
        <v>3.7689999999999997</v>
      </c>
      <c r="Y96" s="333">
        <f t="shared" si="11"/>
        <v>1223.6686666666667</v>
      </c>
      <c r="Z96" s="807"/>
      <c r="AA96" s="711"/>
      <c r="AB96" s="340"/>
      <c r="AC96" s="406"/>
      <c r="AD96" s="459"/>
      <c r="AE96" s="421"/>
      <c r="AF96" s="463"/>
      <c r="AG96" s="459"/>
      <c r="AH96" s="503"/>
      <c r="AI96" s="340"/>
      <c r="AJ96" s="740"/>
      <c r="AK96" s="741"/>
      <c r="AL96" s="732"/>
      <c r="AM96" s="340">
        <f t="shared" si="22"/>
        <v>0</v>
      </c>
      <c r="AN96" s="340">
        <f t="shared" si="23"/>
        <v>0</v>
      </c>
      <c r="AO96" s="468"/>
      <c r="AP96" s="333">
        <f t="shared" si="24"/>
        <v>0</v>
      </c>
      <c r="AQ96" s="192">
        <v>0</v>
      </c>
      <c r="AR96" s="194">
        <v>0</v>
      </c>
      <c r="AS96" s="140" t="s">
        <v>1691</v>
      </c>
      <c r="AT96" s="11" t="s">
        <v>1692</v>
      </c>
      <c r="AU96" s="13"/>
    </row>
    <row r="97" spans="1:47" ht="168.75" x14ac:dyDescent="0.25">
      <c r="A97" s="8">
        <v>83</v>
      </c>
      <c r="B97" s="9">
        <v>29</v>
      </c>
      <c r="C97" s="96" t="s">
        <v>276</v>
      </c>
      <c r="D97" s="51" t="s">
        <v>277</v>
      </c>
      <c r="E97" s="9">
        <v>37073488</v>
      </c>
      <c r="F97" s="19">
        <v>6510700000</v>
      </c>
      <c r="G97" s="9" t="s">
        <v>278</v>
      </c>
      <c r="H97" s="9" t="s">
        <v>279</v>
      </c>
      <c r="I97" s="13" t="s">
        <v>280</v>
      </c>
      <c r="J97" s="13" t="s">
        <v>281</v>
      </c>
      <c r="K97" s="13" t="s">
        <v>1450</v>
      </c>
      <c r="L97" s="13" t="s">
        <v>282</v>
      </c>
      <c r="M97" s="20" t="s">
        <v>1451</v>
      </c>
      <c r="N97" s="13"/>
      <c r="O97" s="10" t="s">
        <v>8</v>
      </c>
      <c r="P97" s="56">
        <v>10</v>
      </c>
      <c r="Q97" s="39">
        <v>34.590000000000003</v>
      </c>
      <c r="R97" s="12">
        <v>3459000.0000000005</v>
      </c>
      <c r="S97" s="10" t="s">
        <v>283</v>
      </c>
      <c r="T97" s="368"/>
      <c r="U97" s="343">
        <f t="shared" si="26"/>
        <v>103770.00000000001</v>
      </c>
      <c r="V97" s="339">
        <f t="shared" si="17"/>
        <v>103770.00000000001</v>
      </c>
      <c r="W97" s="333">
        <v>3</v>
      </c>
      <c r="X97" s="333">
        <f t="shared" si="28"/>
        <v>1.0377000000000001</v>
      </c>
      <c r="Y97" s="333">
        <f t="shared" si="11"/>
        <v>8647.5000000000018</v>
      </c>
      <c r="Z97" s="807"/>
      <c r="AA97" s="711"/>
      <c r="AB97" s="340"/>
      <c r="AC97" s="406"/>
      <c r="AD97" s="459"/>
      <c r="AE97" s="421"/>
      <c r="AF97" s="463"/>
      <c r="AG97" s="459"/>
      <c r="AH97" s="503"/>
      <c r="AI97" s="340"/>
      <c r="AJ97" s="740"/>
      <c r="AK97" s="741"/>
      <c r="AL97" s="732"/>
      <c r="AM97" s="340">
        <f t="shared" si="22"/>
        <v>0</v>
      </c>
      <c r="AN97" s="340">
        <f t="shared" si="23"/>
        <v>0</v>
      </c>
      <c r="AO97" s="406">
        <f t="shared" ref="AO97:AO104" si="29">(Y97*3)-AM97</f>
        <v>25942.500000000007</v>
      </c>
      <c r="AP97" s="333">
        <f t="shared" si="24"/>
        <v>0</v>
      </c>
      <c r="AQ97" s="192">
        <v>0</v>
      </c>
      <c r="AR97" s="416">
        <v>0</v>
      </c>
      <c r="AS97" s="255" t="s">
        <v>1693</v>
      </c>
      <c r="AT97" s="31" t="s">
        <v>1694</v>
      </c>
      <c r="AU97" s="13" t="s">
        <v>1695</v>
      </c>
    </row>
    <row r="98" spans="1:47" ht="150" x14ac:dyDescent="0.25">
      <c r="A98" s="8">
        <v>84</v>
      </c>
      <c r="B98" s="9">
        <v>30</v>
      </c>
      <c r="C98" s="234" t="s">
        <v>284</v>
      </c>
      <c r="D98" s="233" t="s">
        <v>286</v>
      </c>
      <c r="E98" s="233">
        <v>31740114</v>
      </c>
      <c r="F98" s="235">
        <v>6510700000</v>
      </c>
      <c r="G98" s="233" t="s">
        <v>285</v>
      </c>
      <c r="H98" s="233" t="s">
        <v>286</v>
      </c>
      <c r="I98" s="236"/>
      <c r="J98" s="237" t="s">
        <v>1871</v>
      </c>
      <c r="K98" s="236"/>
      <c r="L98" s="237" t="s">
        <v>1872</v>
      </c>
      <c r="M98" s="320" t="s">
        <v>287</v>
      </c>
      <c r="N98" s="237" t="s">
        <v>1873</v>
      </c>
      <c r="O98" s="237" t="s">
        <v>8</v>
      </c>
      <c r="P98" s="238">
        <v>0.42570000000000002</v>
      </c>
      <c r="Q98" s="239">
        <v>468.19</v>
      </c>
      <c r="R98" s="197">
        <v>1993084.83</v>
      </c>
      <c r="S98" s="226" t="s">
        <v>1874</v>
      </c>
      <c r="T98" s="373"/>
      <c r="U98" s="343">
        <f t="shared" si="26"/>
        <v>159446.78640000001</v>
      </c>
      <c r="V98" s="339">
        <f t="shared" si="17"/>
        <v>159446.78640000001</v>
      </c>
      <c r="W98" s="347">
        <v>8</v>
      </c>
      <c r="X98" s="333">
        <f t="shared" si="28"/>
        <v>37.455200000000005</v>
      </c>
      <c r="Y98" s="333">
        <f t="shared" si="11"/>
        <v>13287.2322</v>
      </c>
      <c r="Z98" s="807"/>
      <c r="AA98" s="854">
        <v>13287.26</v>
      </c>
      <c r="AB98" s="348">
        <v>13287.23</v>
      </c>
      <c r="AC98" s="406"/>
      <c r="AD98" s="459"/>
      <c r="AE98" s="421"/>
      <c r="AF98" s="463"/>
      <c r="AG98" s="459"/>
      <c r="AH98" s="503"/>
      <c r="AI98" s="348"/>
      <c r="AJ98" s="740"/>
      <c r="AK98" s="741"/>
      <c r="AL98" s="764"/>
      <c r="AM98" s="340">
        <f t="shared" si="22"/>
        <v>26574.489999999998</v>
      </c>
      <c r="AN98" s="340">
        <f t="shared" si="23"/>
        <v>26574.489999999998</v>
      </c>
      <c r="AO98" s="406">
        <f t="shared" si="29"/>
        <v>13287.206600000005</v>
      </c>
      <c r="AP98" s="333">
        <f t="shared" si="24"/>
        <v>16.666682722179967</v>
      </c>
      <c r="AQ98" s="692">
        <v>159446.79</v>
      </c>
      <c r="AR98" s="693">
        <v>100.00000225780656</v>
      </c>
      <c r="AS98" s="451" t="s">
        <v>2129</v>
      </c>
      <c r="AT98" s="240" t="s">
        <v>1696</v>
      </c>
      <c r="AU98" s="236" t="s">
        <v>1634</v>
      </c>
    </row>
    <row r="99" spans="1:47" ht="409.5" x14ac:dyDescent="0.25">
      <c r="A99" s="8">
        <v>85</v>
      </c>
      <c r="B99" s="233">
        <v>31</v>
      </c>
      <c r="C99" s="96" t="s">
        <v>288</v>
      </c>
      <c r="D99" s="10" t="s">
        <v>289</v>
      </c>
      <c r="E99" s="9">
        <v>38740126</v>
      </c>
      <c r="F99" s="9">
        <v>6510700000</v>
      </c>
      <c r="G99" s="9" t="s">
        <v>290</v>
      </c>
      <c r="H99" s="9" t="s">
        <v>291</v>
      </c>
      <c r="I99" s="13" t="s">
        <v>292</v>
      </c>
      <c r="J99" s="10" t="s">
        <v>293</v>
      </c>
      <c r="K99" s="13" t="s">
        <v>1452</v>
      </c>
      <c r="L99" s="10" t="s">
        <v>294</v>
      </c>
      <c r="M99" s="20">
        <v>41968</v>
      </c>
      <c r="N99" s="20" t="s">
        <v>295</v>
      </c>
      <c r="O99" s="10" t="s">
        <v>8</v>
      </c>
      <c r="P99" s="27">
        <v>0.15479999999999999</v>
      </c>
      <c r="Q99" s="12">
        <v>149.83000000000001</v>
      </c>
      <c r="R99" s="12">
        <v>231936.84000000003</v>
      </c>
      <c r="S99" s="12" t="s">
        <v>296</v>
      </c>
      <c r="T99" s="368"/>
      <c r="U99" s="336">
        <f t="shared" si="26"/>
        <v>18554.947200000002</v>
      </c>
      <c r="V99" s="333">
        <f t="shared" si="17"/>
        <v>18554.947200000002</v>
      </c>
      <c r="W99" s="332">
        <v>8</v>
      </c>
      <c r="X99" s="333">
        <f t="shared" si="28"/>
        <v>11.986400000000001</v>
      </c>
      <c r="Y99" s="333">
        <f t="shared" ref="Y99:Y169" si="30">V99/12</f>
        <v>1546.2456000000002</v>
      </c>
      <c r="Z99" s="807"/>
      <c r="AA99" s="711">
        <v>1800</v>
      </c>
      <c r="AB99" s="340">
        <v>1800</v>
      </c>
      <c r="AC99" s="406"/>
      <c r="AD99" s="459">
        <v>1800</v>
      </c>
      <c r="AE99" s="421"/>
      <c r="AF99" s="463"/>
      <c r="AG99" s="459"/>
      <c r="AH99" s="503"/>
      <c r="AI99" s="340"/>
      <c r="AJ99" s="740"/>
      <c r="AK99" s="741"/>
      <c r="AL99" s="732"/>
      <c r="AM99" s="340">
        <f t="shared" si="22"/>
        <v>5400</v>
      </c>
      <c r="AN99" s="340">
        <f t="shared" si="23"/>
        <v>5400</v>
      </c>
      <c r="AO99" s="468">
        <f t="shared" si="29"/>
        <v>-761.26319999999942</v>
      </c>
      <c r="AP99" s="333">
        <f t="shared" si="24"/>
        <v>29.102750559160842</v>
      </c>
      <c r="AQ99" s="192">
        <v>17901.650000000001</v>
      </c>
      <c r="AR99" s="194">
        <v>96.479121212481814</v>
      </c>
      <c r="AS99" s="140" t="s">
        <v>1697</v>
      </c>
      <c r="AT99" s="11" t="s">
        <v>1698</v>
      </c>
      <c r="AU99" s="13" t="s">
        <v>1632</v>
      </c>
    </row>
    <row r="100" spans="1:47" ht="150" x14ac:dyDescent="0.25">
      <c r="A100" s="8">
        <v>86</v>
      </c>
      <c r="B100" s="568">
        <v>32</v>
      </c>
      <c r="C100" s="588" t="s">
        <v>298</v>
      </c>
      <c r="D100" s="577" t="s">
        <v>2846</v>
      </c>
      <c r="E100" s="577">
        <v>21291875</v>
      </c>
      <c r="F100" s="572">
        <v>6510700000</v>
      </c>
      <c r="G100" s="572" t="s">
        <v>299</v>
      </c>
      <c r="H100" s="572" t="s">
        <v>300</v>
      </c>
      <c r="I100" s="599" t="s">
        <v>2858</v>
      </c>
      <c r="J100" s="608" t="s">
        <v>3303</v>
      </c>
      <c r="K100" s="586" t="s">
        <v>2857</v>
      </c>
      <c r="L100" s="608" t="s">
        <v>2821</v>
      </c>
      <c r="M100" s="608">
        <v>42310</v>
      </c>
      <c r="N100" s="608" t="s">
        <v>2821</v>
      </c>
      <c r="O100" s="577" t="s">
        <v>8</v>
      </c>
      <c r="P100" s="660">
        <v>0.3463</v>
      </c>
      <c r="Q100" s="661">
        <f>R100/3463</f>
        <v>219.74</v>
      </c>
      <c r="R100" s="579">
        <v>760959.62</v>
      </c>
      <c r="S100" s="579" t="s">
        <v>3302</v>
      </c>
      <c r="T100" s="580">
        <f>R100*1%</f>
        <v>7609.5962</v>
      </c>
      <c r="U100" s="609">
        <v>30438.39</v>
      </c>
      <c r="V100" s="609">
        <v>30438.39</v>
      </c>
      <c r="W100" s="814" t="s">
        <v>3448</v>
      </c>
      <c r="X100" s="582">
        <f t="shared" si="28"/>
        <v>8.7896015015882174</v>
      </c>
      <c r="Y100" s="582">
        <f t="shared" si="30"/>
        <v>2536.5324999999998</v>
      </c>
      <c r="Z100" s="807"/>
      <c r="AA100" s="754">
        <v>15219.2</v>
      </c>
      <c r="AB100" s="610"/>
      <c r="AC100" s="611"/>
      <c r="AD100" s="594"/>
      <c r="AE100" s="583"/>
      <c r="AF100" s="593"/>
      <c r="AG100" s="594"/>
      <c r="AH100" s="595"/>
      <c r="AI100" s="610"/>
      <c r="AJ100" s="596"/>
      <c r="AK100" s="597"/>
      <c r="AL100" s="612"/>
      <c r="AM100" s="340">
        <f t="shared" si="22"/>
        <v>15219.2</v>
      </c>
      <c r="AN100" s="340">
        <f t="shared" si="23"/>
        <v>15219.2</v>
      </c>
      <c r="AO100" s="468">
        <f t="shared" si="29"/>
        <v>-7609.6025000000009</v>
      </c>
      <c r="AP100" s="582">
        <f t="shared" si="24"/>
        <v>50.000016426624406</v>
      </c>
      <c r="AQ100" s="687">
        <v>24281.68</v>
      </c>
      <c r="AR100" s="694">
        <v>90.095174365104299</v>
      </c>
      <c r="AS100" s="584">
        <v>43972</v>
      </c>
      <c r="AT100" s="662" t="s">
        <v>1699</v>
      </c>
      <c r="AU100" s="586" t="s">
        <v>1641</v>
      </c>
    </row>
    <row r="101" spans="1:47" ht="206.25" x14ac:dyDescent="0.25">
      <c r="A101" s="8">
        <v>87</v>
      </c>
      <c r="B101" s="9">
        <v>33</v>
      </c>
      <c r="C101" s="264" t="s">
        <v>2006</v>
      </c>
      <c r="D101" s="265" t="s">
        <v>2007</v>
      </c>
      <c r="E101" s="266">
        <v>40721689</v>
      </c>
      <c r="F101" s="270">
        <v>6510700000</v>
      </c>
      <c r="G101" s="270" t="s">
        <v>301</v>
      </c>
      <c r="H101" s="270" t="s">
        <v>302</v>
      </c>
      <c r="I101" s="271" t="s">
        <v>2008</v>
      </c>
      <c r="J101" s="265" t="s">
        <v>2009</v>
      </c>
      <c r="K101" s="267" t="s">
        <v>2010</v>
      </c>
      <c r="L101" s="265" t="s">
        <v>2011</v>
      </c>
      <c r="M101" s="283" t="s">
        <v>303</v>
      </c>
      <c r="N101" s="265"/>
      <c r="O101" s="265" t="s">
        <v>8</v>
      </c>
      <c r="P101" s="268">
        <v>6.3100000000000003E-2</v>
      </c>
      <c r="Q101" s="269">
        <v>422.82</v>
      </c>
      <c r="R101" s="269">
        <v>266799.42</v>
      </c>
      <c r="S101" s="269" t="s">
        <v>2012</v>
      </c>
      <c r="T101" s="374" t="s">
        <v>2114</v>
      </c>
      <c r="U101" s="349">
        <v>78599.820000000007</v>
      </c>
      <c r="V101" s="350">
        <f t="shared" ref="V101:V133" si="31">U101</f>
        <v>78599.820000000007</v>
      </c>
      <c r="W101" s="350">
        <v>29.46</v>
      </c>
      <c r="X101" s="350">
        <f t="shared" si="28"/>
        <v>124.56389857369257</v>
      </c>
      <c r="Y101" s="350">
        <f t="shared" si="30"/>
        <v>6549.9850000000006</v>
      </c>
      <c r="Z101" s="807"/>
      <c r="AA101" s="855">
        <v>6550</v>
      </c>
      <c r="AB101" s="358">
        <v>6550</v>
      </c>
      <c r="AC101" s="408"/>
      <c r="AD101" s="486">
        <v>6550</v>
      </c>
      <c r="AE101" s="437"/>
      <c r="AF101" s="469"/>
      <c r="AG101" s="486"/>
      <c r="AH101" s="504"/>
      <c r="AI101" s="358"/>
      <c r="AJ101" s="765"/>
      <c r="AK101" s="475"/>
      <c r="AL101" s="766"/>
      <c r="AM101" s="340">
        <f t="shared" si="22"/>
        <v>19650</v>
      </c>
      <c r="AN101" s="340">
        <f t="shared" si="23"/>
        <v>19650</v>
      </c>
      <c r="AO101" s="468">
        <f t="shared" si="29"/>
        <v>-4.499999999825377E-2</v>
      </c>
      <c r="AP101" s="350">
        <f t="shared" si="24"/>
        <v>25.000057252039507</v>
      </c>
      <c r="AQ101" s="690">
        <v>71830</v>
      </c>
      <c r="AR101" s="805">
        <v>91.386977730992257</v>
      </c>
      <c r="AS101" s="310">
        <v>44430</v>
      </c>
      <c r="AT101" s="283" t="s">
        <v>1700</v>
      </c>
      <c r="AU101" s="267"/>
    </row>
    <row r="102" spans="1:47" ht="150" x14ac:dyDescent="0.25">
      <c r="A102" s="8">
        <v>88</v>
      </c>
      <c r="B102" s="266">
        <v>34</v>
      </c>
      <c r="C102" s="108" t="s">
        <v>304</v>
      </c>
      <c r="D102" s="109" t="s">
        <v>305</v>
      </c>
      <c r="E102" s="109">
        <v>39783218</v>
      </c>
      <c r="F102" s="110">
        <v>6510700000</v>
      </c>
      <c r="G102" s="110" t="s">
        <v>306</v>
      </c>
      <c r="H102" s="110" t="s">
        <v>307</v>
      </c>
      <c r="I102" s="111" t="s">
        <v>308</v>
      </c>
      <c r="J102" s="112" t="s">
        <v>309</v>
      </c>
      <c r="K102" s="113" t="s">
        <v>1453</v>
      </c>
      <c r="L102" s="112" t="s">
        <v>310</v>
      </c>
      <c r="M102" s="112" t="s">
        <v>1454</v>
      </c>
      <c r="N102" s="112">
        <v>43361</v>
      </c>
      <c r="O102" s="109" t="s">
        <v>8</v>
      </c>
      <c r="P102" s="122">
        <v>0.66839999999999999</v>
      </c>
      <c r="Q102" s="123">
        <v>205.27</v>
      </c>
      <c r="R102" s="107">
        <v>1372024.6800000002</v>
      </c>
      <c r="S102" s="107" t="s">
        <v>311</v>
      </c>
      <c r="T102" s="369"/>
      <c r="U102" s="353">
        <f>R102*W102%</f>
        <v>44590.802100000008</v>
      </c>
      <c r="V102" s="353">
        <f t="shared" si="31"/>
        <v>44590.802100000008</v>
      </c>
      <c r="W102" s="353">
        <v>3.25</v>
      </c>
      <c r="X102" s="353">
        <f t="shared" si="28"/>
        <v>6.6712750000000014</v>
      </c>
      <c r="Y102" s="353">
        <f t="shared" si="30"/>
        <v>3715.9001750000007</v>
      </c>
      <c r="Z102" s="841"/>
      <c r="AA102" s="711">
        <v>3715.9</v>
      </c>
      <c r="AB102" s="340">
        <v>3714</v>
      </c>
      <c r="AC102" s="406"/>
      <c r="AD102" s="459">
        <v>7431.8</v>
      </c>
      <c r="AE102" s="421"/>
      <c r="AF102" s="463"/>
      <c r="AG102" s="459"/>
      <c r="AH102" s="503"/>
      <c r="AI102" s="340"/>
      <c r="AJ102" s="740"/>
      <c r="AK102" s="741"/>
      <c r="AL102" s="732"/>
      <c r="AM102" s="340">
        <f t="shared" si="22"/>
        <v>14861.7</v>
      </c>
      <c r="AN102" s="340">
        <f t="shared" si="23"/>
        <v>14861.7</v>
      </c>
      <c r="AO102" s="468">
        <f t="shared" si="29"/>
        <v>-3713.9994749999987</v>
      </c>
      <c r="AP102" s="333">
        <f t="shared" si="24"/>
        <v>33.329070795073221</v>
      </c>
      <c r="AQ102" s="521">
        <v>44590.80000000001</v>
      </c>
      <c r="AR102" s="523">
        <v>99.999995290508579</v>
      </c>
      <c r="AS102" s="141">
        <v>44415</v>
      </c>
      <c r="AT102" s="126" t="s">
        <v>1701</v>
      </c>
      <c r="AU102" s="113" t="s">
        <v>1702</v>
      </c>
    </row>
    <row r="103" spans="1:47" ht="168.75" x14ac:dyDescent="0.25">
      <c r="A103" s="8">
        <v>89</v>
      </c>
      <c r="B103" s="659">
        <v>35</v>
      </c>
      <c r="C103" s="1085" t="s">
        <v>312</v>
      </c>
      <c r="D103" s="577" t="s">
        <v>2859</v>
      </c>
      <c r="E103" s="577">
        <v>14333937</v>
      </c>
      <c r="F103" s="572">
        <v>6510700000</v>
      </c>
      <c r="G103" s="572" t="s">
        <v>313</v>
      </c>
      <c r="H103" s="572" t="s">
        <v>2860</v>
      </c>
      <c r="I103" s="599" t="s">
        <v>2861</v>
      </c>
      <c r="J103" s="608" t="s">
        <v>2862</v>
      </c>
      <c r="K103" s="586" t="s">
        <v>2863</v>
      </c>
      <c r="L103" s="608" t="s">
        <v>2864</v>
      </c>
      <c r="M103" s="608">
        <v>42234</v>
      </c>
      <c r="N103" s="608"/>
      <c r="O103" s="577" t="s">
        <v>8</v>
      </c>
      <c r="P103" s="660">
        <v>9.1700000000000004E-2</v>
      </c>
      <c r="Q103" s="661">
        <f>R103/917</f>
        <v>1082.3700000000001</v>
      </c>
      <c r="R103" s="579">
        <v>992533.29</v>
      </c>
      <c r="S103" s="579" t="s">
        <v>3300</v>
      </c>
      <c r="T103" s="580"/>
      <c r="U103" s="581">
        <f>R103*W103%</f>
        <v>119103.9948</v>
      </c>
      <c r="V103" s="582">
        <f t="shared" si="31"/>
        <v>119103.9948</v>
      </c>
      <c r="W103" s="581">
        <v>12</v>
      </c>
      <c r="X103" s="582">
        <f t="shared" si="28"/>
        <v>129.8844</v>
      </c>
      <c r="Y103" s="582">
        <f t="shared" si="30"/>
        <v>9925.3328999999994</v>
      </c>
      <c r="Z103" s="807">
        <v>8746.7800000000007</v>
      </c>
      <c r="AA103" s="754"/>
      <c r="AB103" s="610">
        <v>8746.7800000000007</v>
      </c>
      <c r="AC103" s="611">
        <f>405.42+8746.78</f>
        <v>9152.2000000000007</v>
      </c>
      <c r="AD103" s="594"/>
      <c r="AE103" s="583"/>
      <c r="AF103" s="593"/>
      <c r="AG103" s="594"/>
      <c r="AH103" s="595"/>
      <c r="AI103" s="610"/>
      <c r="AJ103" s="596"/>
      <c r="AK103" s="597"/>
      <c r="AL103" s="612"/>
      <c r="AM103" s="340">
        <f t="shared" si="22"/>
        <v>26645.760000000002</v>
      </c>
      <c r="AN103" s="340">
        <f t="shared" si="23"/>
        <v>17898.980000000003</v>
      </c>
      <c r="AO103" s="406">
        <f t="shared" si="29"/>
        <v>3130.2386999999944</v>
      </c>
      <c r="AP103" s="582">
        <f t="shared" si="24"/>
        <v>22.371844071849722</v>
      </c>
      <c r="AQ103" s="687">
        <v>97124.1</v>
      </c>
      <c r="AR103" s="687">
        <v>97.16049943222329</v>
      </c>
      <c r="AS103" s="584">
        <v>44000</v>
      </c>
      <c r="AT103" s="662" t="s">
        <v>3301</v>
      </c>
      <c r="AU103" s="586" t="s">
        <v>1620</v>
      </c>
    </row>
    <row r="104" spans="1:47" ht="281.25" x14ac:dyDescent="0.25">
      <c r="A104" s="8">
        <v>90</v>
      </c>
      <c r="B104" s="58">
        <v>36</v>
      </c>
      <c r="C104" s="97" t="s">
        <v>314</v>
      </c>
      <c r="D104" s="10" t="s">
        <v>315</v>
      </c>
      <c r="E104" s="10" t="s">
        <v>1455</v>
      </c>
      <c r="F104" s="19">
        <v>6510700000</v>
      </c>
      <c r="G104" s="19" t="s">
        <v>316</v>
      </c>
      <c r="H104" s="19" t="s">
        <v>317</v>
      </c>
      <c r="I104" s="75" t="s">
        <v>318</v>
      </c>
      <c r="J104" s="20" t="s">
        <v>319</v>
      </c>
      <c r="K104" s="13" t="s">
        <v>320</v>
      </c>
      <c r="L104" s="20" t="s">
        <v>321</v>
      </c>
      <c r="M104" s="20" t="s">
        <v>64</v>
      </c>
      <c r="N104" s="20"/>
      <c r="O104" s="10" t="s">
        <v>8</v>
      </c>
      <c r="P104" s="21">
        <v>3.4000000000000002E-2</v>
      </c>
      <c r="Q104" s="661">
        <f>R104/340</f>
        <v>572.1</v>
      </c>
      <c r="R104" s="579">
        <v>194514</v>
      </c>
      <c r="S104" s="579" t="s">
        <v>3393</v>
      </c>
      <c r="T104" s="368"/>
      <c r="U104" s="336">
        <f>R104*W104%</f>
        <v>5835.42</v>
      </c>
      <c r="V104" s="333">
        <f t="shared" si="31"/>
        <v>5835.42</v>
      </c>
      <c r="W104" s="332">
        <v>3</v>
      </c>
      <c r="X104" s="333">
        <f t="shared" si="28"/>
        <v>17.163</v>
      </c>
      <c r="Y104" s="333">
        <f t="shared" si="30"/>
        <v>486.28500000000003</v>
      </c>
      <c r="Z104" s="807"/>
      <c r="AA104" s="711"/>
      <c r="AB104" s="340">
        <v>5835.42</v>
      </c>
      <c r="AC104" s="406"/>
      <c r="AD104" s="459"/>
      <c r="AE104" s="421"/>
      <c r="AF104" s="463"/>
      <c r="AG104" s="459"/>
      <c r="AH104" s="503"/>
      <c r="AI104" s="340"/>
      <c r="AJ104" s="740"/>
      <c r="AK104" s="741"/>
      <c r="AL104" s="732"/>
      <c r="AM104" s="340">
        <f t="shared" si="22"/>
        <v>5835.42</v>
      </c>
      <c r="AN104" s="340">
        <f t="shared" si="23"/>
        <v>5835.42</v>
      </c>
      <c r="AO104" s="468">
        <f t="shared" si="29"/>
        <v>-4376.5650000000005</v>
      </c>
      <c r="AP104" s="333">
        <f t="shared" si="24"/>
        <v>100</v>
      </c>
      <c r="AQ104" s="192">
        <v>6809</v>
      </c>
      <c r="AR104" s="416">
        <v>116.68193522361838</v>
      </c>
      <c r="AS104" s="140">
        <v>46182</v>
      </c>
      <c r="AT104" s="60" t="s">
        <v>1703</v>
      </c>
      <c r="AU104" s="13" t="s">
        <v>1681</v>
      </c>
    </row>
    <row r="105" spans="1:47" ht="150" x14ac:dyDescent="0.25">
      <c r="A105" s="8">
        <v>91</v>
      </c>
      <c r="B105" s="58">
        <v>37</v>
      </c>
      <c r="C105" s="119" t="s">
        <v>322</v>
      </c>
      <c r="D105" s="120" t="s">
        <v>323</v>
      </c>
      <c r="E105" s="109" t="s">
        <v>1456</v>
      </c>
      <c r="F105" s="110">
        <v>6510700000</v>
      </c>
      <c r="G105" s="110" t="s">
        <v>324</v>
      </c>
      <c r="H105" s="110" t="s">
        <v>325</v>
      </c>
      <c r="I105" s="111" t="s">
        <v>236</v>
      </c>
      <c r="J105" s="112" t="s">
        <v>326</v>
      </c>
      <c r="K105" s="113" t="s">
        <v>1457</v>
      </c>
      <c r="L105" s="112" t="s">
        <v>327</v>
      </c>
      <c r="M105" s="112" t="s">
        <v>328</v>
      </c>
      <c r="N105" s="112"/>
      <c r="O105" s="109" t="s">
        <v>8</v>
      </c>
      <c r="P105" s="122">
        <v>0.24890000000000001</v>
      </c>
      <c r="Q105" s="123">
        <v>1755.72</v>
      </c>
      <c r="R105" s="107">
        <v>4369987.08</v>
      </c>
      <c r="S105" s="109" t="s">
        <v>329</v>
      </c>
      <c r="T105" s="369"/>
      <c r="U105" s="344">
        <f>R105*W105%</f>
        <v>131099.61239999998</v>
      </c>
      <c r="V105" s="345">
        <f t="shared" si="31"/>
        <v>131099.61239999998</v>
      </c>
      <c r="W105" s="344">
        <v>3</v>
      </c>
      <c r="X105" s="345">
        <f t="shared" si="28"/>
        <v>52.671599999999991</v>
      </c>
      <c r="Y105" s="345">
        <f t="shared" si="30"/>
        <v>10924.967699999999</v>
      </c>
      <c r="Z105" s="807"/>
      <c r="AA105" s="852">
        <v>10924.97</v>
      </c>
      <c r="AB105" s="359">
        <v>14096</v>
      </c>
      <c r="AC105" s="407"/>
      <c r="AD105" s="483"/>
      <c r="AE105" s="422"/>
      <c r="AF105" s="462"/>
      <c r="AG105" s="767"/>
      <c r="AH105" s="502"/>
      <c r="AI105" s="359"/>
      <c r="AJ105" s="762"/>
      <c r="AK105" s="529"/>
      <c r="AL105" s="752"/>
      <c r="AM105" s="340">
        <f t="shared" si="22"/>
        <v>25020.97</v>
      </c>
      <c r="AN105" s="340">
        <f t="shared" si="23"/>
        <v>25020.97</v>
      </c>
      <c r="AO105" s="468"/>
      <c r="AP105" s="345">
        <f t="shared" si="24"/>
        <v>19.085464512021701</v>
      </c>
      <c r="AQ105" s="521">
        <v>125135.62</v>
      </c>
      <c r="AR105" s="523">
        <v>95.450793262604648</v>
      </c>
      <c r="AS105" s="164">
        <v>46581</v>
      </c>
      <c r="AT105" s="126" t="s">
        <v>1704</v>
      </c>
      <c r="AU105" s="113" t="s">
        <v>1705</v>
      </c>
    </row>
    <row r="106" spans="1:47" ht="150" x14ac:dyDescent="0.25">
      <c r="A106" s="8">
        <v>92</v>
      </c>
      <c r="B106" s="4"/>
      <c r="C106" s="277" t="s">
        <v>322</v>
      </c>
      <c r="D106" s="278" t="s">
        <v>323</v>
      </c>
      <c r="E106" s="265" t="s">
        <v>1456</v>
      </c>
      <c r="F106" s="270">
        <v>6510700000</v>
      </c>
      <c r="G106" s="270" t="s">
        <v>1890</v>
      </c>
      <c r="H106" s="270" t="s">
        <v>1891</v>
      </c>
      <c r="I106" s="271" t="s">
        <v>1892</v>
      </c>
      <c r="J106" s="283" t="s">
        <v>1893</v>
      </c>
      <c r="K106" s="113" t="s">
        <v>1895</v>
      </c>
      <c r="L106" s="112" t="s">
        <v>1896</v>
      </c>
      <c r="M106" s="112" t="s">
        <v>1897</v>
      </c>
      <c r="N106" s="112"/>
      <c r="O106" s="109" t="s">
        <v>8</v>
      </c>
      <c r="P106" s="122">
        <v>0.18720000000000001</v>
      </c>
      <c r="Q106" s="123">
        <v>583.96</v>
      </c>
      <c r="R106" s="107">
        <v>1093173.1200000001</v>
      </c>
      <c r="S106" s="109" t="s">
        <v>1898</v>
      </c>
      <c r="T106" s="369"/>
      <c r="U106" s="344">
        <v>38042.550000000003</v>
      </c>
      <c r="V106" s="345">
        <f t="shared" si="31"/>
        <v>38042.550000000003</v>
      </c>
      <c r="W106" s="345">
        <v>3.48</v>
      </c>
      <c r="X106" s="345">
        <f t="shared" si="28"/>
        <v>20.321875000000002</v>
      </c>
      <c r="Y106" s="345">
        <f t="shared" si="30"/>
        <v>3170.2125000000001</v>
      </c>
      <c r="Z106" s="807"/>
      <c r="AA106" s="871">
        <v>3170.21</v>
      </c>
      <c r="AB106" s="359"/>
      <c r="AC106" s="1047"/>
      <c r="AD106" s="483"/>
      <c r="AE106" s="422"/>
      <c r="AF106" s="462"/>
      <c r="AG106" s="483"/>
      <c r="AH106" s="502"/>
      <c r="AI106" s="359"/>
      <c r="AJ106" s="751"/>
      <c r="AK106" s="529"/>
      <c r="AL106" s="752"/>
      <c r="AM106" s="340">
        <f t="shared" si="22"/>
        <v>3170.21</v>
      </c>
      <c r="AN106" s="340">
        <f t="shared" si="23"/>
        <v>3170.21</v>
      </c>
      <c r="AO106" s="468"/>
      <c r="AP106" s="333">
        <f t="shared" si="24"/>
        <v>8.3333267617444147</v>
      </c>
      <c r="AQ106" s="521">
        <v>28192</v>
      </c>
      <c r="AR106" s="523">
        <v>75.943897630901674</v>
      </c>
      <c r="AS106" s="164" t="s">
        <v>2577</v>
      </c>
      <c r="AT106" s="126" t="s">
        <v>1899</v>
      </c>
      <c r="AU106" s="113" t="s">
        <v>1673</v>
      </c>
    </row>
    <row r="107" spans="1:47" ht="21" x14ac:dyDescent="0.35">
      <c r="A107" s="1167"/>
      <c r="B107" s="1300"/>
      <c r="C107" s="1301"/>
      <c r="D107" s="1302"/>
      <c r="E107" s="1303"/>
      <c r="F107" s="1304"/>
      <c r="G107" s="1304"/>
      <c r="H107" s="1304"/>
      <c r="I107" s="1305"/>
      <c r="J107" s="1306"/>
      <c r="K107" s="1307"/>
      <c r="L107" s="1308"/>
      <c r="M107" s="1308"/>
      <c r="N107" s="1308"/>
      <c r="O107" s="1309"/>
      <c r="P107" s="1310"/>
      <c r="Q107" s="1311"/>
      <c r="R107" s="1312"/>
      <c r="S107" s="1309"/>
      <c r="T107" s="1313"/>
      <c r="U107" s="1314"/>
      <c r="V107" s="1315">
        <f>V105+V106</f>
        <v>169142.16239999997</v>
      </c>
      <c r="W107" s="1315"/>
      <c r="X107" s="1315"/>
      <c r="Y107" s="1315">
        <f>Y105+Y106</f>
        <v>14095.180199999999</v>
      </c>
      <c r="Z107" s="1237"/>
      <c r="AA107" s="1297"/>
      <c r="AB107" s="1316"/>
      <c r="AC107" s="1317"/>
      <c r="AD107" s="1318"/>
      <c r="AE107" s="1319"/>
      <c r="AF107" s="1298"/>
      <c r="AG107" s="1320"/>
      <c r="AH107" s="1321"/>
      <c r="AI107" s="1316"/>
      <c r="AJ107" s="1322"/>
      <c r="AK107" s="1299"/>
      <c r="AL107" s="1323"/>
      <c r="AM107" s="1238">
        <f>AM105+AM106</f>
        <v>28191.18</v>
      </c>
      <c r="AN107" s="1238"/>
      <c r="AO107" s="1239">
        <f t="shared" ref="AO107:AO110" si="32">(Y107*3)-AM107</f>
        <v>14094.360599999993</v>
      </c>
      <c r="AP107" s="1236">
        <f t="shared" si="24"/>
        <v>16.667151229467787</v>
      </c>
      <c r="AQ107" s="1324"/>
      <c r="AR107" s="1325"/>
      <c r="AS107" s="1326"/>
      <c r="AT107" s="1327"/>
      <c r="AU107" s="1307"/>
    </row>
    <row r="108" spans="1:47" ht="206.25" x14ac:dyDescent="0.25">
      <c r="A108" s="8">
        <v>93</v>
      </c>
      <c r="B108" s="303">
        <v>38</v>
      </c>
      <c r="C108" s="250" t="s">
        <v>330</v>
      </c>
      <c r="D108" s="251" t="s">
        <v>1889</v>
      </c>
      <c r="E108" s="214" t="s">
        <v>1458</v>
      </c>
      <c r="F108" s="209">
        <v>6510700000</v>
      </c>
      <c r="G108" s="209" t="s">
        <v>331</v>
      </c>
      <c r="H108" s="209" t="s">
        <v>332</v>
      </c>
      <c r="I108" s="75" t="s">
        <v>236</v>
      </c>
      <c r="J108" s="20" t="s">
        <v>3364</v>
      </c>
      <c r="K108" s="13" t="s">
        <v>1459</v>
      </c>
      <c r="L108" s="20" t="s">
        <v>333</v>
      </c>
      <c r="M108" s="20" t="s">
        <v>334</v>
      </c>
      <c r="N108" s="20" t="s">
        <v>3456</v>
      </c>
      <c r="O108" s="10" t="s">
        <v>8</v>
      </c>
      <c r="P108" s="202">
        <v>2.4348999999999998</v>
      </c>
      <c r="Q108" s="203">
        <v>244.83</v>
      </c>
      <c r="R108" s="197">
        <v>5961365.6699999999</v>
      </c>
      <c r="S108" s="14" t="s">
        <v>335</v>
      </c>
      <c r="T108" s="367"/>
      <c r="U108" s="343">
        <f t="shared" ref="U108:U131" si="33">R108*W108%</f>
        <v>238454.6268</v>
      </c>
      <c r="V108" s="343">
        <f t="shared" si="31"/>
        <v>238454.6268</v>
      </c>
      <c r="W108" s="343">
        <v>4</v>
      </c>
      <c r="X108" s="333">
        <f t="shared" si="28"/>
        <v>9.7932000000000006</v>
      </c>
      <c r="Y108" s="333">
        <f t="shared" si="30"/>
        <v>19871.2189</v>
      </c>
      <c r="Z108" s="807"/>
      <c r="AA108" s="711">
        <v>19871.22</v>
      </c>
      <c r="AB108" s="340">
        <v>19871.22</v>
      </c>
      <c r="AC108" s="406"/>
      <c r="AD108" s="767">
        <v>19871.22</v>
      </c>
      <c r="AE108" s="421"/>
      <c r="AF108" s="463"/>
      <c r="AG108" s="459"/>
      <c r="AH108" s="503"/>
      <c r="AI108" s="340"/>
      <c r="AJ108" s="740"/>
      <c r="AK108" s="741"/>
      <c r="AL108" s="732"/>
      <c r="AM108" s="340">
        <f t="shared" si="22"/>
        <v>59613.66</v>
      </c>
      <c r="AN108" s="340">
        <f t="shared" si="23"/>
        <v>59613.66</v>
      </c>
      <c r="AO108" s="468">
        <f t="shared" si="32"/>
        <v>-3.3000000039464794E-3</v>
      </c>
      <c r="AP108" s="333">
        <f t="shared" si="24"/>
        <v>25.00000138391108</v>
      </c>
      <c r="AQ108" s="192">
        <v>238454.63</v>
      </c>
      <c r="AR108" s="416">
        <v>100.00000134197438</v>
      </c>
      <c r="AS108" s="140">
        <v>44025</v>
      </c>
      <c r="AT108" s="60" t="s">
        <v>1706</v>
      </c>
      <c r="AU108" s="13" t="s">
        <v>1639</v>
      </c>
    </row>
    <row r="109" spans="1:47" ht="281.25" x14ac:dyDescent="0.25">
      <c r="A109" s="8">
        <v>94</v>
      </c>
      <c r="B109" s="58">
        <v>39</v>
      </c>
      <c r="C109" s="98" t="s">
        <v>336</v>
      </c>
      <c r="D109" s="17" t="s">
        <v>337</v>
      </c>
      <c r="E109" s="10">
        <v>38053614</v>
      </c>
      <c r="F109" s="19">
        <v>6510700000</v>
      </c>
      <c r="G109" s="19" t="s">
        <v>338</v>
      </c>
      <c r="H109" s="19" t="s">
        <v>339</v>
      </c>
      <c r="I109" s="75" t="s">
        <v>340</v>
      </c>
      <c r="J109" s="20" t="s">
        <v>341</v>
      </c>
      <c r="K109" s="65">
        <v>43082</v>
      </c>
      <c r="L109" s="20" t="s">
        <v>342</v>
      </c>
      <c r="M109" s="20" t="s">
        <v>1460</v>
      </c>
      <c r="N109" s="20"/>
      <c r="O109" s="10" t="s">
        <v>8</v>
      </c>
      <c r="P109" s="21">
        <v>0.56059999999999999</v>
      </c>
      <c r="Q109" s="32">
        <v>189.88</v>
      </c>
      <c r="R109" s="12">
        <v>1064467.28</v>
      </c>
      <c r="S109" s="14" t="s">
        <v>343</v>
      </c>
      <c r="T109" s="367"/>
      <c r="U109" s="336">
        <f t="shared" si="33"/>
        <v>58545.700400000002</v>
      </c>
      <c r="V109" s="333">
        <f t="shared" si="31"/>
        <v>58545.700400000002</v>
      </c>
      <c r="W109" s="332">
        <v>5.5</v>
      </c>
      <c r="X109" s="333">
        <f t="shared" si="28"/>
        <v>10.4434</v>
      </c>
      <c r="Y109" s="333">
        <f t="shared" si="30"/>
        <v>4878.8083666666671</v>
      </c>
      <c r="Z109" s="807"/>
      <c r="AA109" s="711">
        <v>4878.8100000000004</v>
      </c>
      <c r="AB109" s="340">
        <v>4878.8100000000004</v>
      </c>
      <c r="AC109" s="406">
        <v>4878.8100000000004</v>
      </c>
      <c r="AD109" s="459"/>
      <c r="AE109" s="421"/>
      <c r="AF109" s="463"/>
      <c r="AG109" s="459"/>
      <c r="AH109" s="503"/>
      <c r="AI109" s="340"/>
      <c r="AJ109" s="419"/>
      <c r="AK109" s="741"/>
      <c r="AL109" s="732"/>
      <c r="AM109" s="340">
        <f t="shared" si="22"/>
        <v>14636.43</v>
      </c>
      <c r="AN109" s="340">
        <f t="shared" si="23"/>
        <v>14636.43</v>
      </c>
      <c r="AO109" s="468">
        <f t="shared" si="32"/>
        <v>-4.8999999999068677E-3</v>
      </c>
      <c r="AP109" s="333">
        <f t="shared" si="24"/>
        <v>25.000008369530072</v>
      </c>
      <c r="AQ109" s="192">
        <v>58545.7</v>
      </c>
      <c r="AR109" s="416">
        <v>99.999999316773057</v>
      </c>
      <c r="AS109" s="140" t="s">
        <v>2578</v>
      </c>
      <c r="AT109" s="60" t="s">
        <v>1707</v>
      </c>
      <c r="AU109" s="13" t="s">
        <v>1708</v>
      </c>
    </row>
    <row r="110" spans="1:47" ht="187.5" x14ac:dyDescent="0.25">
      <c r="A110" s="8">
        <v>95</v>
      </c>
      <c r="B110" s="58">
        <v>40</v>
      </c>
      <c r="C110" s="98" t="s">
        <v>344</v>
      </c>
      <c r="D110" s="17" t="s">
        <v>345</v>
      </c>
      <c r="E110" s="10">
        <v>40923213</v>
      </c>
      <c r="F110" s="19">
        <v>6510700000</v>
      </c>
      <c r="G110" s="19" t="s">
        <v>346</v>
      </c>
      <c r="H110" s="19" t="s">
        <v>347</v>
      </c>
      <c r="I110" s="75" t="s">
        <v>292</v>
      </c>
      <c r="J110" s="20" t="s">
        <v>3409</v>
      </c>
      <c r="K110" s="13" t="s">
        <v>1461</v>
      </c>
      <c r="L110" s="20" t="s">
        <v>348</v>
      </c>
      <c r="M110" s="20" t="s">
        <v>349</v>
      </c>
      <c r="N110" s="317" t="s">
        <v>3452</v>
      </c>
      <c r="O110" s="10" t="s">
        <v>8</v>
      </c>
      <c r="P110" s="21">
        <v>2.5907</v>
      </c>
      <c r="Q110" s="32">
        <v>330.61</v>
      </c>
      <c r="R110" s="12">
        <v>8565113.2699999996</v>
      </c>
      <c r="S110" s="14" t="s">
        <v>350</v>
      </c>
      <c r="T110" s="367"/>
      <c r="U110" s="581">
        <f t="shared" si="33"/>
        <v>89933.689335000003</v>
      </c>
      <c r="V110" s="582">
        <f t="shared" si="31"/>
        <v>89933.689335000003</v>
      </c>
      <c r="W110" s="581">
        <v>1.05</v>
      </c>
      <c r="X110" s="333">
        <f t="shared" si="28"/>
        <v>3.4714050000000003</v>
      </c>
      <c r="Y110" s="333">
        <f t="shared" si="30"/>
        <v>7494.4741112500005</v>
      </c>
      <c r="Z110" s="807"/>
      <c r="AA110" s="711">
        <v>7494.47</v>
      </c>
      <c r="AB110" s="340">
        <v>7494.47</v>
      </c>
      <c r="AC110" s="406">
        <v>7494.47</v>
      </c>
      <c r="AD110" s="459"/>
      <c r="AE110" s="421"/>
      <c r="AF110" s="463"/>
      <c r="AG110" s="459"/>
      <c r="AH110" s="503"/>
      <c r="AI110" s="340"/>
      <c r="AJ110" s="559"/>
      <c r="AK110" s="741"/>
      <c r="AL110" s="732"/>
      <c r="AM110" s="340">
        <f t="shared" si="22"/>
        <v>22483.41</v>
      </c>
      <c r="AN110" s="340">
        <f t="shared" si="23"/>
        <v>22483.41</v>
      </c>
      <c r="AO110" s="468">
        <f t="shared" si="32"/>
        <v>1.2333750000834698E-2</v>
      </c>
      <c r="AP110" s="333">
        <f t="shared" si="24"/>
        <v>24.999986285728863</v>
      </c>
      <c r="AQ110" s="192">
        <v>85651.089999999982</v>
      </c>
      <c r="AR110" s="416">
        <v>95.238047758668628</v>
      </c>
      <c r="AS110" s="140" t="s">
        <v>2579</v>
      </c>
      <c r="AT110" s="60" t="s">
        <v>1709</v>
      </c>
      <c r="AU110" s="13" t="s">
        <v>1710</v>
      </c>
    </row>
    <row r="111" spans="1:47" ht="131.25" x14ac:dyDescent="0.25">
      <c r="A111" s="8">
        <v>96</v>
      </c>
      <c r="B111" s="9">
        <v>41</v>
      </c>
      <c r="C111" s="98" t="s">
        <v>351</v>
      </c>
      <c r="D111" s="17" t="s">
        <v>352</v>
      </c>
      <c r="E111" s="10">
        <v>40325733</v>
      </c>
      <c r="F111" s="19">
        <v>6510700000</v>
      </c>
      <c r="G111" s="19" t="s">
        <v>353</v>
      </c>
      <c r="H111" s="19" t="s">
        <v>354</v>
      </c>
      <c r="I111" s="75" t="s">
        <v>236</v>
      </c>
      <c r="J111" s="20" t="s">
        <v>3410</v>
      </c>
      <c r="K111" s="13" t="s">
        <v>1462</v>
      </c>
      <c r="L111" s="20" t="s">
        <v>355</v>
      </c>
      <c r="M111" s="20" t="s">
        <v>356</v>
      </c>
      <c r="N111" s="20"/>
      <c r="O111" s="10" t="s">
        <v>8</v>
      </c>
      <c r="P111" s="21">
        <v>0.66069999999999995</v>
      </c>
      <c r="Q111" s="32">
        <v>747.47</v>
      </c>
      <c r="R111" s="12">
        <v>4938534.2899999991</v>
      </c>
      <c r="S111" s="14" t="s">
        <v>357</v>
      </c>
      <c r="T111" s="367"/>
      <c r="U111" s="581">
        <f t="shared" si="33"/>
        <v>592624.11479999986</v>
      </c>
      <c r="V111" s="582">
        <f t="shared" si="31"/>
        <v>592624.11479999986</v>
      </c>
      <c r="W111" s="581">
        <v>12</v>
      </c>
      <c r="X111" s="333">
        <f t="shared" si="28"/>
        <v>89.696399999999997</v>
      </c>
      <c r="Y111" s="333">
        <f t="shared" si="30"/>
        <v>49385.342899999989</v>
      </c>
      <c r="Z111" s="807"/>
      <c r="AA111" s="1043">
        <v>24692.67</v>
      </c>
      <c r="AB111" s="1045">
        <v>24692.67</v>
      </c>
      <c r="AC111" s="406"/>
      <c r="AD111" s="459"/>
      <c r="AE111" s="421"/>
      <c r="AF111" s="463"/>
      <c r="AG111" s="459"/>
      <c r="AH111" s="503"/>
      <c r="AI111" s="340"/>
      <c r="AJ111" s="740"/>
      <c r="AK111" s="741"/>
      <c r="AL111" s="732"/>
      <c r="AM111" s="340">
        <f t="shared" si="22"/>
        <v>49385.34</v>
      </c>
      <c r="AN111" s="340">
        <f t="shared" si="23"/>
        <v>49385.34</v>
      </c>
      <c r="AO111" s="468"/>
      <c r="AP111" s="333">
        <f t="shared" si="24"/>
        <v>8.3333328439843655</v>
      </c>
      <c r="AQ111" s="192">
        <v>223829.19</v>
      </c>
      <c r="AR111" s="416">
        <v>37.769166729831504</v>
      </c>
      <c r="AS111" s="140">
        <v>44025</v>
      </c>
      <c r="AT111" s="60" t="s">
        <v>1670</v>
      </c>
      <c r="AU111" s="13" t="s">
        <v>1711</v>
      </c>
    </row>
    <row r="112" spans="1:47" ht="131.25" x14ac:dyDescent="0.25">
      <c r="A112" s="8">
        <v>97</v>
      </c>
      <c r="B112" s="9"/>
      <c r="C112" s="98" t="s">
        <v>351</v>
      </c>
      <c r="D112" s="17" t="s">
        <v>352</v>
      </c>
      <c r="E112" s="10">
        <v>40325733</v>
      </c>
      <c r="F112" s="19">
        <v>6510700000</v>
      </c>
      <c r="G112" s="19" t="s">
        <v>358</v>
      </c>
      <c r="H112" s="19" t="s">
        <v>359</v>
      </c>
      <c r="I112" s="75" t="s">
        <v>236</v>
      </c>
      <c r="J112" s="20" t="s">
        <v>3411</v>
      </c>
      <c r="K112" s="13" t="s">
        <v>1462</v>
      </c>
      <c r="L112" s="20" t="s">
        <v>360</v>
      </c>
      <c r="M112" s="20" t="s">
        <v>356</v>
      </c>
      <c r="N112" s="20"/>
      <c r="O112" s="10" t="s">
        <v>8</v>
      </c>
      <c r="P112" s="21">
        <v>0.49170000000000003</v>
      </c>
      <c r="Q112" s="32">
        <v>510.3</v>
      </c>
      <c r="R112" s="12">
        <v>2509145.1</v>
      </c>
      <c r="S112" s="14" t="s">
        <v>361</v>
      </c>
      <c r="T112" s="367"/>
      <c r="U112" s="581">
        <f t="shared" si="33"/>
        <v>301097.41200000001</v>
      </c>
      <c r="V112" s="582">
        <f t="shared" si="31"/>
        <v>301097.41200000001</v>
      </c>
      <c r="W112" s="581">
        <v>12</v>
      </c>
      <c r="X112" s="333">
        <f t="shared" si="28"/>
        <v>61.236000000000004</v>
      </c>
      <c r="Y112" s="333">
        <f t="shared" si="30"/>
        <v>25091.451000000001</v>
      </c>
      <c r="AA112" s="711">
        <v>12545.73</v>
      </c>
      <c r="AB112" s="1044">
        <v>12545.73</v>
      </c>
      <c r="AC112" s="406"/>
      <c r="AD112" s="459"/>
      <c r="AE112" s="421"/>
      <c r="AF112" s="463"/>
      <c r="AG112" s="459"/>
      <c r="AH112" s="503"/>
      <c r="AI112" s="340"/>
      <c r="AJ112" s="740"/>
      <c r="AK112" s="741"/>
      <c r="AL112" s="732"/>
      <c r="AM112" s="340">
        <f t="shared" si="22"/>
        <v>25091.46</v>
      </c>
      <c r="AN112" s="340">
        <f>SUM(AA112:AL112)</f>
        <v>25091.46</v>
      </c>
      <c r="AO112" s="468"/>
      <c r="AP112" s="333">
        <f t="shared" si="24"/>
        <v>8.3333363223992105</v>
      </c>
      <c r="AQ112" s="192">
        <v>223031.60999999996</v>
      </c>
      <c r="AR112" s="416">
        <v>74.072908338381851</v>
      </c>
      <c r="AS112" s="140" t="s">
        <v>2546</v>
      </c>
      <c r="AT112" s="60" t="s">
        <v>1670</v>
      </c>
      <c r="AU112" s="13" t="s">
        <v>1711</v>
      </c>
    </row>
    <row r="113" spans="1:47" ht="21" x14ac:dyDescent="0.35">
      <c r="A113" s="1167"/>
      <c r="B113" s="1222"/>
      <c r="C113" s="1287"/>
      <c r="D113" s="1329"/>
      <c r="E113" s="1231"/>
      <c r="F113" s="1225"/>
      <c r="G113" s="1225"/>
      <c r="H113" s="1225"/>
      <c r="I113" s="1229"/>
      <c r="J113" s="1288"/>
      <c r="K113" s="1228"/>
      <c r="L113" s="1288"/>
      <c r="M113" s="1288"/>
      <c r="N113" s="1288"/>
      <c r="O113" s="1231"/>
      <c r="P113" s="1289"/>
      <c r="Q113" s="1330"/>
      <c r="R113" s="1233"/>
      <c r="S113" s="1170"/>
      <c r="T113" s="1178"/>
      <c r="U113" s="1331"/>
      <c r="V113" s="1332">
        <f>V111+V112</f>
        <v>893721.52679999988</v>
      </c>
      <c r="W113" s="1331"/>
      <c r="X113" s="1236"/>
      <c r="Y113" s="1236">
        <f t="shared" si="30"/>
        <v>74476.79389999999</v>
      </c>
      <c r="Z113" s="1328"/>
      <c r="AA113" s="1238"/>
      <c r="AB113" s="1238"/>
      <c r="AC113" s="1239"/>
      <c r="AD113" s="1240"/>
      <c r="AE113" s="1241"/>
      <c r="AF113" s="1242"/>
      <c r="AG113" s="1240"/>
      <c r="AH113" s="1243"/>
      <c r="AI113" s="1238"/>
      <c r="AJ113" s="1244"/>
      <c r="AK113" s="1245"/>
      <c r="AL113" s="1246"/>
      <c r="AM113" s="1238">
        <f>AM111+AM112</f>
        <v>74476.799999999988</v>
      </c>
      <c r="AN113" s="1238"/>
      <c r="AO113" s="1242">
        <f>(Y113*3)-AM113</f>
        <v>148953.58169999998</v>
      </c>
      <c r="AP113" s="1236">
        <f t="shared" si="24"/>
        <v>8.3333340158725608</v>
      </c>
      <c r="AQ113" s="1247"/>
      <c r="AR113" s="1333"/>
      <c r="AS113" s="1249"/>
      <c r="AT113" s="1230"/>
      <c r="AU113" s="1228"/>
    </row>
    <row r="114" spans="1:47" ht="131.25" x14ac:dyDescent="0.25">
      <c r="A114" s="8">
        <v>98</v>
      </c>
      <c r="B114" s="9">
        <v>42</v>
      </c>
      <c r="C114" s="119" t="s">
        <v>362</v>
      </c>
      <c r="D114" s="120" t="s">
        <v>363</v>
      </c>
      <c r="E114" s="109">
        <v>21286489</v>
      </c>
      <c r="F114" s="110">
        <v>6510700000</v>
      </c>
      <c r="G114" s="110" t="s">
        <v>364</v>
      </c>
      <c r="H114" s="110" t="s">
        <v>2681</v>
      </c>
      <c r="I114" s="111" t="s">
        <v>154</v>
      </c>
      <c r="J114" s="112" t="s">
        <v>3412</v>
      </c>
      <c r="K114" s="113" t="s">
        <v>1463</v>
      </c>
      <c r="L114" s="112" t="s">
        <v>365</v>
      </c>
      <c r="M114" s="112" t="s">
        <v>1464</v>
      </c>
      <c r="N114" s="112" t="s">
        <v>3478</v>
      </c>
      <c r="O114" s="109" t="s">
        <v>8</v>
      </c>
      <c r="P114" s="122">
        <v>0.3478</v>
      </c>
      <c r="Q114" s="123">
        <f>R114/3478</f>
        <v>369.36</v>
      </c>
      <c r="R114" s="107">
        <v>1284634.08</v>
      </c>
      <c r="S114" s="109" t="s">
        <v>3377</v>
      </c>
      <c r="T114" s="369"/>
      <c r="U114" s="353">
        <f t="shared" si="33"/>
        <v>13488.657840000002</v>
      </c>
      <c r="V114" s="353">
        <f t="shared" si="31"/>
        <v>13488.657840000002</v>
      </c>
      <c r="W114" s="353">
        <v>1.05</v>
      </c>
      <c r="X114" s="333">
        <f t="shared" si="28"/>
        <v>3.8782800000000006</v>
      </c>
      <c r="Y114" s="333">
        <f t="shared" si="30"/>
        <v>1124.0548200000001</v>
      </c>
      <c r="Z114" s="807"/>
      <c r="AA114" s="711"/>
      <c r="AB114" s="340">
        <v>1200</v>
      </c>
      <c r="AC114" s="406">
        <v>1200</v>
      </c>
      <c r="AD114" s="459">
        <v>1200</v>
      </c>
      <c r="AE114" s="421"/>
      <c r="AF114" s="463"/>
      <c r="AG114" s="459"/>
      <c r="AH114" s="503"/>
      <c r="AI114" s="340"/>
      <c r="AJ114" s="740"/>
      <c r="AK114" s="741"/>
      <c r="AL114" s="732"/>
      <c r="AM114" s="340">
        <f t="shared" si="22"/>
        <v>3600</v>
      </c>
      <c r="AN114" s="340">
        <f t="shared" si="23"/>
        <v>3600</v>
      </c>
      <c r="AO114" s="468">
        <f t="shared" ref="AO114:AO115" si="34">(Y114*3)-AM114</f>
        <v>-227.83554000000004</v>
      </c>
      <c r="AP114" s="333">
        <f t="shared" si="24"/>
        <v>26.689089772329783</v>
      </c>
      <c r="AQ114" s="521">
        <v>11200</v>
      </c>
      <c r="AR114" s="523">
        <v>87.184359922943955</v>
      </c>
      <c r="AS114" s="164" t="s">
        <v>2580</v>
      </c>
      <c r="AT114" s="126" t="s">
        <v>1712</v>
      </c>
      <c r="AU114" s="113" t="s">
        <v>1713</v>
      </c>
    </row>
    <row r="115" spans="1:47" ht="150" x14ac:dyDescent="0.25">
      <c r="A115" s="8">
        <v>99</v>
      </c>
      <c r="B115" s="9">
        <v>43</v>
      </c>
      <c r="C115" s="98" t="s">
        <v>366</v>
      </c>
      <c r="D115" s="17" t="s">
        <v>367</v>
      </c>
      <c r="E115" s="10">
        <v>19223323</v>
      </c>
      <c r="F115" s="19">
        <v>6510700000</v>
      </c>
      <c r="G115" s="19" t="s">
        <v>368</v>
      </c>
      <c r="H115" s="19" t="s">
        <v>369</v>
      </c>
      <c r="I115" s="75" t="s">
        <v>280</v>
      </c>
      <c r="J115" s="20" t="s">
        <v>3413</v>
      </c>
      <c r="K115" s="13" t="s">
        <v>1465</v>
      </c>
      <c r="L115" s="20" t="s">
        <v>370</v>
      </c>
      <c r="M115" s="20" t="s">
        <v>1466</v>
      </c>
      <c r="N115" s="20">
        <v>43180</v>
      </c>
      <c r="O115" s="10" t="s">
        <v>8</v>
      </c>
      <c r="P115" s="21">
        <v>9.9500000000000005E-2</v>
      </c>
      <c r="Q115" s="32">
        <v>208.19</v>
      </c>
      <c r="R115" s="12">
        <v>207149.05</v>
      </c>
      <c r="S115" s="14" t="s">
        <v>371</v>
      </c>
      <c r="T115" s="367"/>
      <c r="U115" s="343">
        <f t="shared" si="33"/>
        <v>17607.669249999999</v>
      </c>
      <c r="V115" s="339">
        <f t="shared" si="31"/>
        <v>17607.669249999999</v>
      </c>
      <c r="W115" s="339">
        <v>8.5</v>
      </c>
      <c r="X115" s="333">
        <f t="shared" si="28"/>
        <v>17.696149999999999</v>
      </c>
      <c r="Y115" s="333">
        <f t="shared" si="30"/>
        <v>1467.3057708333333</v>
      </c>
      <c r="Z115" s="807"/>
      <c r="AA115" s="711">
        <v>1467.31</v>
      </c>
      <c r="AB115" s="340">
        <v>1467.31</v>
      </c>
      <c r="AC115" s="406"/>
      <c r="AD115" s="459"/>
      <c r="AE115" s="421"/>
      <c r="AF115" s="463"/>
      <c r="AG115" s="459"/>
      <c r="AH115" s="503"/>
      <c r="AI115" s="340"/>
      <c r="AJ115" s="740"/>
      <c r="AK115" s="741"/>
      <c r="AL115" s="732"/>
      <c r="AM115" s="340">
        <f t="shared" si="22"/>
        <v>2934.62</v>
      </c>
      <c r="AN115" s="340">
        <f t="shared" si="23"/>
        <v>2934.62</v>
      </c>
      <c r="AO115" s="406">
        <f t="shared" si="34"/>
        <v>1467.2973124999999</v>
      </c>
      <c r="AP115" s="333">
        <f t="shared" si="24"/>
        <v>16.666714704446189</v>
      </c>
      <c r="AQ115" s="192">
        <v>17607.669999999995</v>
      </c>
      <c r="AR115" s="416">
        <v>100.00000425950752</v>
      </c>
      <c r="AS115" s="140" t="s">
        <v>2550</v>
      </c>
      <c r="AT115" s="60" t="s">
        <v>1714</v>
      </c>
      <c r="AU115" s="13" t="s">
        <v>1632</v>
      </c>
    </row>
    <row r="116" spans="1:47" ht="93.75" x14ac:dyDescent="0.25">
      <c r="A116" s="8">
        <v>100</v>
      </c>
      <c r="B116" s="9">
        <v>44</v>
      </c>
      <c r="C116" s="119" t="s">
        <v>374</v>
      </c>
      <c r="D116" s="120" t="s">
        <v>375</v>
      </c>
      <c r="E116" s="109">
        <v>24956677</v>
      </c>
      <c r="F116" s="110">
        <v>6510700000</v>
      </c>
      <c r="G116" s="110" t="s">
        <v>376</v>
      </c>
      <c r="H116" s="110" t="s">
        <v>377</v>
      </c>
      <c r="I116" s="111" t="s">
        <v>378</v>
      </c>
      <c r="J116" s="112" t="s">
        <v>379</v>
      </c>
      <c r="K116" s="113" t="s">
        <v>1467</v>
      </c>
      <c r="L116" s="112" t="s">
        <v>380</v>
      </c>
      <c r="M116" s="112" t="s">
        <v>1468</v>
      </c>
      <c r="N116" s="112"/>
      <c r="O116" s="109" t="s">
        <v>8</v>
      </c>
      <c r="P116" s="122">
        <v>1.4337</v>
      </c>
      <c r="Q116" s="123">
        <v>219.02</v>
      </c>
      <c r="R116" s="107">
        <v>3140089.74</v>
      </c>
      <c r="S116" s="109" t="s">
        <v>381</v>
      </c>
      <c r="T116" s="369"/>
      <c r="U116" s="344">
        <f t="shared" si="33"/>
        <v>141304.03830000001</v>
      </c>
      <c r="V116" s="345">
        <f t="shared" si="31"/>
        <v>141304.03830000001</v>
      </c>
      <c r="W116" s="344">
        <v>4.5</v>
      </c>
      <c r="X116" s="345">
        <f t="shared" si="28"/>
        <v>9.8559000000000019</v>
      </c>
      <c r="Y116" s="345">
        <f t="shared" si="30"/>
        <v>11775.336525000001</v>
      </c>
      <c r="Z116" s="807"/>
      <c r="AA116" s="856">
        <v>11775.34</v>
      </c>
      <c r="AB116" s="359">
        <v>11775.34</v>
      </c>
      <c r="AC116" s="407"/>
      <c r="AD116" s="483"/>
      <c r="AE116" s="364"/>
      <c r="AF116" s="562"/>
      <c r="AG116" s="483"/>
      <c r="AH116" s="502"/>
      <c r="AI116" s="359"/>
      <c r="AJ116" s="751"/>
      <c r="AK116" s="529"/>
      <c r="AL116" s="752"/>
      <c r="AM116" s="340">
        <f t="shared" si="22"/>
        <v>23550.68</v>
      </c>
      <c r="AN116" s="340">
        <f t="shared" si="23"/>
        <v>23550.68</v>
      </c>
      <c r="AO116" s="468"/>
      <c r="AP116" s="333">
        <f t="shared" si="24"/>
        <v>16.666671585138978</v>
      </c>
      <c r="AQ116" s="521">
        <v>143750.28</v>
      </c>
      <c r="AR116" s="416">
        <v>101.73119022600501</v>
      </c>
      <c r="AS116" s="164" t="s">
        <v>2581</v>
      </c>
      <c r="AT116" s="126" t="s">
        <v>1716</v>
      </c>
      <c r="AU116" s="113" t="s">
        <v>1632</v>
      </c>
    </row>
    <row r="117" spans="1:47" ht="93.75" x14ac:dyDescent="0.25">
      <c r="A117" s="8">
        <v>101</v>
      </c>
      <c r="B117" s="115"/>
      <c r="C117" s="119" t="s">
        <v>374</v>
      </c>
      <c r="D117" s="120" t="s">
        <v>375</v>
      </c>
      <c r="E117" s="109">
        <v>24956677</v>
      </c>
      <c r="F117" s="110">
        <v>6510700000</v>
      </c>
      <c r="G117" s="110" t="s">
        <v>382</v>
      </c>
      <c r="H117" s="110" t="s">
        <v>383</v>
      </c>
      <c r="I117" s="111" t="s">
        <v>378</v>
      </c>
      <c r="J117" s="112" t="s">
        <v>384</v>
      </c>
      <c r="K117" s="113" t="s">
        <v>1467</v>
      </c>
      <c r="L117" s="112" t="s">
        <v>385</v>
      </c>
      <c r="M117" s="112" t="s">
        <v>1468</v>
      </c>
      <c r="N117" s="112"/>
      <c r="O117" s="109" t="s">
        <v>8</v>
      </c>
      <c r="P117" s="122">
        <v>1.6907000000000001</v>
      </c>
      <c r="Q117" s="123">
        <v>205.02</v>
      </c>
      <c r="R117" s="107">
        <v>3466273.14</v>
      </c>
      <c r="S117" s="109" t="s">
        <v>386</v>
      </c>
      <c r="T117" s="369"/>
      <c r="U117" s="344">
        <f t="shared" si="33"/>
        <v>155982.29130000001</v>
      </c>
      <c r="V117" s="345">
        <f t="shared" si="31"/>
        <v>155982.29130000001</v>
      </c>
      <c r="W117" s="344">
        <v>4.5</v>
      </c>
      <c r="X117" s="345">
        <f t="shared" si="28"/>
        <v>9.2259000000000011</v>
      </c>
      <c r="Y117" s="345">
        <f t="shared" si="30"/>
        <v>12998.524275000002</v>
      </c>
      <c r="Z117" s="807"/>
      <c r="AA117" s="852">
        <v>12998.52</v>
      </c>
      <c r="AB117" s="359">
        <v>12998.52</v>
      </c>
      <c r="AC117" s="407"/>
      <c r="AD117" s="483"/>
      <c r="AE117" s="364"/>
      <c r="AF117" s="562"/>
      <c r="AG117" s="562"/>
      <c r="AH117" s="407"/>
      <c r="AI117" s="359"/>
      <c r="AJ117" s="751"/>
      <c r="AK117" s="529"/>
      <c r="AL117" s="752"/>
      <c r="AM117" s="340">
        <f t="shared" si="22"/>
        <v>25997.040000000001</v>
      </c>
      <c r="AN117" s="340">
        <f t="shared" si="23"/>
        <v>25997.040000000001</v>
      </c>
      <c r="AO117" s="468"/>
      <c r="AP117" s="333">
        <f t="shared" si="24"/>
        <v>16.666661185275203</v>
      </c>
      <c r="AQ117" s="521">
        <v>153535.97000000003</v>
      </c>
      <c r="AR117" s="416">
        <v>98.431667287605762</v>
      </c>
      <c r="AS117" s="164">
        <v>46280</v>
      </c>
      <c r="AT117" s="126" t="s">
        <v>1625</v>
      </c>
      <c r="AU117" s="113" t="s">
        <v>1632</v>
      </c>
    </row>
    <row r="118" spans="1:47" ht="18.75" x14ac:dyDescent="0.25">
      <c r="A118" s="1119"/>
      <c r="B118" s="706"/>
      <c r="C118" s="727"/>
      <c r="D118" s="1205"/>
      <c r="E118" s="1150"/>
      <c r="F118" s="1151"/>
      <c r="G118" s="1151"/>
      <c r="H118" s="1151"/>
      <c r="I118" s="1206"/>
      <c r="J118" s="1153"/>
      <c r="K118" s="1152"/>
      <c r="L118" s="1153"/>
      <c r="M118" s="1153"/>
      <c r="N118" s="1153"/>
      <c r="O118" s="1150"/>
      <c r="P118" s="1207"/>
      <c r="Q118" s="1208"/>
      <c r="R118" s="1154"/>
      <c r="S118" s="1150"/>
      <c r="T118" s="1155"/>
      <c r="U118" s="361"/>
      <c r="V118" s="346">
        <f>V116+V117</f>
        <v>297286.32960000006</v>
      </c>
      <c r="W118" s="361"/>
      <c r="X118" s="346"/>
      <c r="Y118" s="346">
        <f t="shared" si="30"/>
        <v>24773.860800000006</v>
      </c>
      <c r="Z118" s="807"/>
      <c r="AA118" s="852"/>
      <c r="AB118" s="852"/>
      <c r="AC118" s="769"/>
      <c r="AD118" s="919"/>
      <c r="AE118" s="529"/>
      <c r="AF118" s="462"/>
      <c r="AG118" s="462"/>
      <c r="AH118" s="769"/>
      <c r="AI118" s="852"/>
      <c r="AJ118" s="1209"/>
      <c r="AK118" s="529"/>
      <c r="AL118" s="1210"/>
      <c r="AM118" s="711">
        <f>AM116+AM117</f>
        <v>49547.72</v>
      </c>
      <c r="AN118" s="711">
        <f>AN116+AN117</f>
        <v>49547.72</v>
      </c>
      <c r="AO118" s="712">
        <f>(Y118*3)-AM118</f>
        <v>24773.862400000013</v>
      </c>
      <c r="AP118" s="334">
        <f t="shared" si="24"/>
        <v>16.666666128464989</v>
      </c>
      <c r="AQ118" s="1156"/>
      <c r="AR118" s="701"/>
      <c r="AS118" s="447"/>
      <c r="AT118" s="1211"/>
      <c r="AU118" s="1152"/>
    </row>
    <row r="119" spans="1:47" ht="112.5" x14ac:dyDescent="0.25">
      <c r="A119" s="8">
        <v>102</v>
      </c>
      <c r="B119" s="115">
        <v>45</v>
      </c>
      <c r="C119" s="119" t="s">
        <v>387</v>
      </c>
      <c r="D119" s="120" t="s">
        <v>388</v>
      </c>
      <c r="E119" s="115">
        <v>32418283</v>
      </c>
      <c r="F119" s="110">
        <v>6510700000</v>
      </c>
      <c r="G119" s="115" t="s">
        <v>389</v>
      </c>
      <c r="H119" s="115" t="s">
        <v>390</v>
      </c>
      <c r="I119" s="113" t="s">
        <v>391</v>
      </c>
      <c r="J119" s="109" t="s">
        <v>392</v>
      </c>
      <c r="K119" s="113" t="s">
        <v>1469</v>
      </c>
      <c r="L119" s="109" t="s">
        <v>393</v>
      </c>
      <c r="M119" s="112" t="s">
        <v>65</v>
      </c>
      <c r="N119" s="109"/>
      <c r="O119" s="109" t="s">
        <v>8</v>
      </c>
      <c r="P119" s="114">
        <v>1.2999999999999999E-2</v>
      </c>
      <c r="Q119" s="107">
        <v>598.24</v>
      </c>
      <c r="R119" s="107">
        <v>77771.199999999997</v>
      </c>
      <c r="S119" s="107" t="s">
        <v>394</v>
      </c>
      <c r="T119" s="369"/>
      <c r="U119" s="353">
        <f t="shared" si="33"/>
        <v>7777.12</v>
      </c>
      <c r="V119" s="353">
        <f t="shared" si="31"/>
        <v>7777.12</v>
      </c>
      <c r="W119" s="353">
        <v>10</v>
      </c>
      <c r="X119" s="345">
        <f t="shared" si="28"/>
        <v>59.823999999999998</v>
      </c>
      <c r="Y119" s="345">
        <f t="shared" si="30"/>
        <v>648.09333333333336</v>
      </c>
      <c r="Z119" s="807"/>
      <c r="AA119" s="852">
        <v>649</v>
      </c>
      <c r="AB119" s="359">
        <v>649</v>
      </c>
      <c r="AC119" s="407">
        <v>649</v>
      </c>
      <c r="AD119" s="483">
        <v>649</v>
      </c>
      <c r="AE119" s="422"/>
      <c r="AF119" s="462"/>
      <c r="AG119" s="483"/>
      <c r="AH119" s="502"/>
      <c r="AI119" s="359"/>
      <c r="AJ119" s="751"/>
      <c r="AK119" s="529"/>
      <c r="AL119" s="752"/>
      <c r="AM119" s="340">
        <f t="shared" si="22"/>
        <v>2596</v>
      </c>
      <c r="AN119" s="340">
        <f t="shared" si="23"/>
        <v>2596</v>
      </c>
      <c r="AO119" s="468">
        <f t="shared" ref="AO119:AO122" si="35">(Y119*3)-AM119</f>
        <v>-651.7199999999998</v>
      </c>
      <c r="AP119" s="333">
        <f t="shared" si="24"/>
        <v>33.379965848540337</v>
      </c>
      <c r="AQ119" s="521">
        <v>7798</v>
      </c>
      <c r="AR119" s="416">
        <v>100.26847984858148</v>
      </c>
      <c r="AS119" s="164" t="s">
        <v>2582</v>
      </c>
      <c r="AT119" s="162" t="s">
        <v>1717</v>
      </c>
      <c r="AU119" s="113" t="s">
        <v>1634</v>
      </c>
    </row>
    <row r="120" spans="1:47" ht="206.25" x14ac:dyDescent="0.25">
      <c r="A120" s="8">
        <v>103</v>
      </c>
      <c r="B120" s="115">
        <v>46</v>
      </c>
      <c r="C120" s="108" t="s">
        <v>395</v>
      </c>
      <c r="D120" s="109" t="s">
        <v>396</v>
      </c>
      <c r="E120" s="115">
        <v>19225351</v>
      </c>
      <c r="F120" s="110">
        <v>6510700000</v>
      </c>
      <c r="G120" s="110" t="s">
        <v>397</v>
      </c>
      <c r="H120" s="110" t="s">
        <v>398</v>
      </c>
      <c r="I120" s="111" t="s">
        <v>50</v>
      </c>
      <c r="J120" s="109" t="s">
        <v>399</v>
      </c>
      <c r="K120" s="113" t="s">
        <v>1470</v>
      </c>
      <c r="L120" s="109" t="s">
        <v>400</v>
      </c>
      <c r="M120" s="112" t="s">
        <v>1471</v>
      </c>
      <c r="N120" s="109"/>
      <c r="O120" s="109" t="s">
        <v>8</v>
      </c>
      <c r="P120" s="114">
        <v>1.4999999999999999E-2</v>
      </c>
      <c r="Q120" s="107">
        <v>931.19</v>
      </c>
      <c r="R120" s="107">
        <v>139678.5</v>
      </c>
      <c r="S120" s="115" t="s">
        <v>401</v>
      </c>
      <c r="T120" s="369"/>
      <c r="U120" s="344">
        <f t="shared" si="33"/>
        <v>13269.4575</v>
      </c>
      <c r="V120" s="345">
        <f t="shared" si="31"/>
        <v>13269.4575</v>
      </c>
      <c r="W120" s="344">
        <v>9.5</v>
      </c>
      <c r="X120" s="345">
        <f t="shared" si="28"/>
        <v>88.46305000000001</v>
      </c>
      <c r="Y120" s="345">
        <f t="shared" si="30"/>
        <v>1105.788125</v>
      </c>
      <c r="Z120" s="807"/>
      <c r="AA120" s="852">
        <v>1047.3900000000001</v>
      </c>
      <c r="AB120" s="359">
        <v>1047.3900000000001</v>
      </c>
      <c r="AC120" s="407">
        <v>1048</v>
      </c>
      <c r="AD120" s="483"/>
      <c r="AE120" s="422"/>
      <c r="AF120" s="462"/>
      <c r="AG120" s="483"/>
      <c r="AH120" s="502"/>
      <c r="AI120" s="359"/>
      <c r="AJ120" s="768"/>
      <c r="AK120" s="529"/>
      <c r="AL120" s="752"/>
      <c r="AM120" s="340">
        <f t="shared" si="22"/>
        <v>3142.78</v>
      </c>
      <c r="AN120" s="340">
        <f t="shared" si="23"/>
        <v>3142.78</v>
      </c>
      <c r="AO120" s="406">
        <f t="shared" si="35"/>
        <v>174.58437499999991</v>
      </c>
      <c r="AP120" s="333">
        <f t="shared" si="24"/>
        <v>23.68431414773362</v>
      </c>
      <c r="AQ120" s="521">
        <v>12569.289999999999</v>
      </c>
      <c r="AR120" s="416">
        <v>94.723465522234051</v>
      </c>
      <c r="AS120" s="164" t="s">
        <v>2556</v>
      </c>
      <c r="AT120" s="125" t="s">
        <v>1718</v>
      </c>
      <c r="AU120" s="113" t="s">
        <v>1634</v>
      </c>
    </row>
    <row r="121" spans="1:47" ht="206.25" x14ac:dyDescent="0.25">
      <c r="A121" s="8">
        <v>104</v>
      </c>
      <c r="B121" s="115">
        <v>47</v>
      </c>
      <c r="C121" s="108" t="s">
        <v>402</v>
      </c>
      <c r="D121" s="109" t="s">
        <v>403</v>
      </c>
      <c r="E121" s="115">
        <v>23136825</v>
      </c>
      <c r="F121" s="110">
        <v>6510700000</v>
      </c>
      <c r="G121" s="110" t="s">
        <v>404</v>
      </c>
      <c r="H121" s="110" t="s">
        <v>405</v>
      </c>
      <c r="I121" s="111" t="s">
        <v>406</v>
      </c>
      <c r="J121" s="109" t="s">
        <v>407</v>
      </c>
      <c r="K121" s="113" t="s">
        <v>408</v>
      </c>
      <c r="L121" s="109" t="s">
        <v>409</v>
      </c>
      <c r="M121" s="112" t="s">
        <v>410</v>
      </c>
      <c r="N121" s="109"/>
      <c r="O121" s="109" t="s">
        <v>8</v>
      </c>
      <c r="P121" s="114">
        <v>5.2600000000000001E-2</v>
      </c>
      <c r="Q121" s="107">
        <v>853.15</v>
      </c>
      <c r="R121" s="107">
        <v>448756.89999999997</v>
      </c>
      <c r="S121" s="107" t="s">
        <v>411</v>
      </c>
      <c r="T121" s="369"/>
      <c r="U121" s="353">
        <f t="shared" si="33"/>
        <v>20194.060499999996</v>
      </c>
      <c r="V121" s="353">
        <f t="shared" si="31"/>
        <v>20194.060499999996</v>
      </c>
      <c r="W121" s="353">
        <v>4.5</v>
      </c>
      <c r="X121" s="345">
        <f t="shared" si="28"/>
        <v>38.391749999999995</v>
      </c>
      <c r="Y121" s="345">
        <f t="shared" si="30"/>
        <v>1682.8383749999996</v>
      </c>
      <c r="Z121" s="807"/>
      <c r="AA121" s="852">
        <v>1682.84</v>
      </c>
      <c r="AB121" s="359">
        <v>1682.84</v>
      </c>
      <c r="AC121" s="407"/>
      <c r="AD121" s="365">
        <v>1682.84</v>
      </c>
      <c r="AE121" s="422"/>
      <c r="AF121" s="462"/>
      <c r="AG121" s="483"/>
      <c r="AH121" s="502"/>
      <c r="AI121" s="359"/>
      <c r="AJ121" s="762"/>
      <c r="AK121" s="529"/>
      <c r="AL121" s="752"/>
      <c r="AM121" s="340">
        <f t="shared" si="22"/>
        <v>5048.5199999999995</v>
      </c>
      <c r="AN121" s="340">
        <f t="shared" si="23"/>
        <v>5048.5199999999995</v>
      </c>
      <c r="AO121" s="468">
        <f t="shared" si="35"/>
        <v>-4.8750000005384209E-3</v>
      </c>
      <c r="AP121" s="333">
        <f t="shared" si="24"/>
        <v>25.000024140761589</v>
      </c>
      <c r="AQ121" s="521">
        <v>20194.059999999998</v>
      </c>
      <c r="AR121" s="416">
        <v>99.999997524024465</v>
      </c>
      <c r="AS121" s="164" t="s">
        <v>2583</v>
      </c>
      <c r="AT121" s="109" t="s">
        <v>1719</v>
      </c>
      <c r="AU121" s="113" t="s">
        <v>1713</v>
      </c>
    </row>
    <row r="122" spans="1:47" ht="243.75" x14ac:dyDescent="0.25">
      <c r="A122" s="8">
        <v>105</v>
      </c>
      <c r="B122" s="115">
        <v>48</v>
      </c>
      <c r="C122" s="119" t="s">
        <v>412</v>
      </c>
      <c r="D122" s="109" t="s">
        <v>413</v>
      </c>
      <c r="E122" s="115">
        <v>34524327</v>
      </c>
      <c r="F122" s="110">
        <v>6510700000</v>
      </c>
      <c r="G122" s="115" t="s">
        <v>414</v>
      </c>
      <c r="H122" s="115" t="s">
        <v>415</v>
      </c>
      <c r="I122" s="113" t="s">
        <v>112</v>
      </c>
      <c r="J122" s="109" t="s">
        <v>416</v>
      </c>
      <c r="K122" s="113" t="s">
        <v>1441</v>
      </c>
      <c r="L122" s="109" t="s">
        <v>417</v>
      </c>
      <c r="M122" s="112" t="s">
        <v>1472</v>
      </c>
      <c r="N122" s="109"/>
      <c r="O122" s="109" t="s">
        <v>8</v>
      </c>
      <c r="P122" s="114">
        <v>0.498</v>
      </c>
      <c r="Q122" s="107">
        <v>1133.6600000000001</v>
      </c>
      <c r="R122" s="107">
        <v>5645626.8000000007</v>
      </c>
      <c r="S122" s="107" t="s">
        <v>418</v>
      </c>
      <c r="T122" s="369"/>
      <c r="U122" s="344">
        <f t="shared" si="33"/>
        <v>677475.21600000001</v>
      </c>
      <c r="V122" s="345">
        <f t="shared" si="31"/>
        <v>677475.21600000001</v>
      </c>
      <c r="W122" s="344">
        <v>12</v>
      </c>
      <c r="X122" s="345">
        <f t="shared" si="28"/>
        <v>136.03919999999999</v>
      </c>
      <c r="Y122" s="345">
        <f t="shared" si="30"/>
        <v>56456.268000000004</v>
      </c>
      <c r="Z122" s="807"/>
      <c r="AA122" s="852">
        <v>56456.27</v>
      </c>
      <c r="AB122" s="359">
        <v>56456.27</v>
      </c>
      <c r="AC122" s="407"/>
      <c r="AD122" s="483"/>
      <c r="AE122" s="422"/>
      <c r="AF122" s="462"/>
      <c r="AG122" s="483"/>
      <c r="AH122" s="502"/>
      <c r="AI122" s="359"/>
      <c r="AJ122" s="762"/>
      <c r="AK122" s="529"/>
      <c r="AL122" s="752"/>
      <c r="AM122" s="340">
        <f t="shared" si="22"/>
        <v>112912.54</v>
      </c>
      <c r="AN122" s="340">
        <f t="shared" si="23"/>
        <v>112912.54</v>
      </c>
      <c r="AO122" s="406">
        <f t="shared" si="35"/>
        <v>56456.26400000001</v>
      </c>
      <c r="AP122" s="333">
        <f t="shared" si="24"/>
        <v>16.666667257094169</v>
      </c>
      <c r="AQ122" s="521">
        <v>677475.22000000009</v>
      </c>
      <c r="AR122" s="416">
        <v>100.00000059042752</v>
      </c>
      <c r="AS122" s="164" t="s">
        <v>2556</v>
      </c>
      <c r="AT122" s="125" t="s">
        <v>1720</v>
      </c>
      <c r="AU122" s="113" t="s">
        <v>1713</v>
      </c>
    </row>
    <row r="123" spans="1:47" ht="281.25" x14ac:dyDescent="0.25">
      <c r="A123" s="8">
        <v>106</v>
      </c>
      <c r="B123" s="115">
        <v>49</v>
      </c>
      <c r="C123" s="119" t="s">
        <v>419</v>
      </c>
      <c r="D123" s="120" t="s">
        <v>420</v>
      </c>
      <c r="E123" s="115">
        <v>31683774</v>
      </c>
      <c r="F123" s="110">
        <v>6510700000</v>
      </c>
      <c r="G123" s="115" t="s">
        <v>2145</v>
      </c>
      <c r="H123" s="110" t="s">
        <v>421</v>
      </c>
      <c r="I123" s="111" t="s">
        <v>2146</v>
      </c>
      <c r="J123" s="109" t="s">
        <v>2147</v>
      </c>
      <c r="K123" s="113" t="s">
        <v>2152</v>
      </c>
      <c r="L123" s="109" t="s">
        <v>2148</v>
      </c>
      <c r="M123" s="112">
        <v>43525</v>
      </c>
      <c r="N123" s="109"/>
      <c r="O123" s="109" t="s">
        <v>8</v>
      </c>
      <c r="P123" s="114">
        <v>0.4995</v>
      </c>
      <c r="Q123" s="107">
        <v>1889.18</v>
      </c>
      <c r="R123" s="107">
        <f>Q123*4995</f>
        <v>9436454.0999999996</v>
      </c>
      <c r="S123" s="107" t="s">
        <v>2149</v>
      </c>
      <c r="T123" s="369"/>
      <c r="U123" s="344">
        <f t="shared" si="33"/>
        <v>94364.540999999997</v>
      </c>
      <c r="V123" s="345">
        <f t="shared" si="31"/>
        <v>94364.540999999997</v>
      </c>
      <c r="W123" s="344">
        <v>1</v>
      </c>
      <c r="X123" s="345">
        <f t="shared" si="28"/>
        <v>18.8918</v>
      </c>
      <c r="Y123" s="345">
        <f t="shared" si="30"/>
        <v>7863.7117499999995</v>
      </c>
      <c r="Z123" s="807">
        <v>8888</v>
      </c>
      <c r="AA123" s="852">
        <v>2318</v>
      </c>
      <c r="AB123" s="359"/>
      <c r="AC123" s="407">
        <f>2318+8888</f>
        <v>11206</v>
      </c>
      <c r="AD123" s="483">
        <v>2318</v>
      </c>
      <c r="AE123" s="422"/>
      <c r="AF123" s="462"/>
      <c r="AG123" s="483"/>
      <c r="AH123" s="502"/>
      <c r="AI123" s="359"/>
      <c r="AJ123" s="751"/>
      <c r="AK123" s="529"/>
      <c r="AL123" s="752"/>
      <c r="AM123" s="340">
        <f t="shared" si="22"/>
        <v>24730</v>
      </c>
      <c r="AN123" s="340">
        <f t="shared" si="23"/>
        <v>15842</v>
      </c>
      <c r="AO123" s="468"/>
      <c r="AP123" s="333">
        <f t="shared" si="24"/>
        <v>26.206877856800045</v>
      </c>
      <c r="AQ123" s="521">
        <v>81949</v>
      </c>
      <c r="AR123" s="416">
        <v>104.21159879710753</v>
      </c>
      <c r="AS123" s="164" t="s">
        <v>2560</v>
      </c>
      <c r="AT123" s="125" t="s">
        <v>1721</v>
      </c>
      <c r="AU123" s="113" t="s">
        <v>1722</v>
      </c>
    </row>
    <row r="124" spans="1:47" ht="281.25" x14ac:dyDescent="0.25">
      <c r="A124" s="8">
        <v>107</v>
      </c>
      <c r="B124" s="115"/>
      <c r="C124" s="119" t="s">
        <v>2155</v>
      </c>
      <c r="D124" s="120" t="s">
        <v>2156</v>
      </c>
      <c r="E124" s="115" t="s">
        <v>2157</v>
      </c>
      <c r="F124" s="110">
        <v>6510700000</v>
      </c>
      <c r="G124" s="115" t="s">
        <v>2150</v>
      </c>
      <c r="H124" s="110" t="s">
        <v>421</v>
      </c>
      <c r="I124" s="111" t="s">
        <v>2146</v>
      </c>
      <c r="J124" s="109" t="s">
        <v>2151</v>
      </c>
      <c r="K124" s="113" t="s">
        <v>2152</v>
      </c>
      <c r="L124" s="109" t="s">
        <v>2153</v>
      </c>
      <c r="M124" s="112">
        <v>43525</v>
      </c>
      <c r="N124" s="109"/>
      <c r="O124" s="109" t="s">
        <v>8</v>
      </c>
      <c r="P124" s="114">
        <v>0.14729999999999999</v>
      </c>
      <c r="Q124" s="107">
        <v>1889.18</v>
      </c>
      <c r="R124" s="107">
        <f>Q124*1473</f>
        <v>2782762.14</v>
      </c>
      <c r="S124" s="107" t="s">
        <v>2154</v>
      </c>
      <c r="T124" s="369"/>
      <c r="U124" s="344">
        <f t="shared" si="33"/>
        <v>27827.621400000004</v>
      </c>
      <c r="V124" s="345">
        <f t="shared" si="31"/>
        <v>27827.621400000004</v>
      </c>
      <c r="W124" s="344">
        <v>1</v>
      </c>
      <c r="X124" s="345">
        <f t="shared" si="28"/>
        <v>18.891800000000007</v>
      </c>
      <c r="Y124" s="345">
        <f t="shared" si="30"/>
        <v>2318.9684500000003</v>
      </c>
      <c r="Z124" s="807"/>
      <c r="AB124" s="359">
        <f>2318+8888</f>
        <v>11206</v>
      </c>
      <c r="AC124" s="407"/>
      <c r="AD124" s="483"/>
      <c r="AE124" s="422"/>
      <c r="AF124" s="462"/>
      <c r="AG124" s="483"/>
      <c r="AH124" s="502"/>
      <c r="AI124" s="359"/>
      <c r="AJ124" s="751"/>
      <c r="AK124" s="529"/>
      <c r="AL124" s="752"/>
      <c r="AM124" s="340">
        <f t="shared" si="22"/>
        <v>11206</v>
      </c>
      <c r="AN124" s="340">
        <f t="shared" si="23"/>
        <v>11206</v>
      </c>
      <c r="AO124" s="468"/>
      <c r="AP124" s="333">
        <f t="shared" si="24"/>
        <v>40.26934188489426</v>
      </c>
      <c r="AQ124" s="521">
        <v>23180</v>
      </c>
      <c r="AR124" s="416">
        <v>99.958257293761704</v>
      </c>
      <c r="AS124" s="164" t="s">
        <v>2560</v>
      </c>
      <c r="AT124" s="125" t="s">
        <v>1721</v>
      </c>
      <c r="AU124" s="113" t="s">
        <v>1722</v>
      </c>
    </row>
    <row r="125" spans="1:47" ht="281.25" x14ac:dyDescent="0.25">
      <c r="A125" s="8">
        <v>108</v>
      </c>
      <c r="B125" s="115"/>
      <c r="C125" s="119" t="s">
        <v>419</v>
      </c>
      <c r="D125" s="120" t="s">
        <v>420</v>
      </c>
      <c r="E125" s="115">
        <v>31683774</v>
      </c>
      <c r="F125" s="110">
        <v>6510700000</v>
      </c>
      <c r="G125" s="115" t="s">
        <v>2158</v>
      </c>
      <c r="H125" s="110" t="s">
        <v>421</v>
      </c>
      <c r="I125" s="111" t="s">
        <v>2146</v>
      </c>
      <c r="J125" s="109" t="s">
        <v>2159</v>
      </c>
      <c r="K125" s="113" t="s">
        <v>2152</v>
      </c>
      <c r="L125" s="109" t="s">
        <v>2160</v>
      </c>
      <c r="M125" s="112">
        <v>43525</v>
      </c>
      <c r="N125" s="109"/>
      <c r="O125" s="109" t="s">
        <v>8</v>
      </c>
      <c r="P125" s="114">
        <v>6.5000000000000002E-2</v>
      </c>
      <c r="Q125" s="107">
        <v>1889.18</v>
      </c>
      <c r="R125" s="107">
        <f>Q125*650</f>
        <v>1227967</v>
      </c>
      <c r="S125" s="107" t="s">
        <v>2161</v>
      </c>
      <c r="T125" s="369"/>
      <c r="U125" s="344">
        <f t="shared" si="33"/>
        <v>12279.67</v>
      </c>
      <c r="V125" s="345">
        <f t="shared" si="31"/>
        <v>12279.67</v>
      </c>
      <c r="W125" s="344">
        <v>1</v>
      </c>
      <c r="X125" s="345">
        <f t="shared" si="28"/>
        <v>18.8918</v>
      </c>
      <c r="Y125" s="345">
        <f t="shared" si="30"/>
        <v>1023.3058333333333</v>
      </c>
      <c r="Z125" s="807"/>
      <c r="AA125" s="852">
        <v>8888</v>
      </c>
      <c r="AB125" s="359"/>
      <c r="AC125" s="407"/>
      <c r="AD125" s="483"/>
      <c r="AE125" s="422"/>
      <c r="AF125" s="462"/>
      <c r="AG125" s="483"/>
      <c r="AH125" s="502"/>
      <c r="AI125" s="359"/>
      <c r="AJ125" s="751"/>
      <c r="AK125" s="529"/>
      <c r="AL125" s="752"/>
      <c r="AM125" s="340">
        <f t="shared" si="22"/>
        <v>8888</v>
      </c>
      <c r="AN125" s="340">
        <f>SUM(AA125:AL125)</f>
        <v>8888</v>
      </c>
      <c r="AO125" s="468"/>
      <c r="AP125" s="333">
        <f t="shared" si="24"/>
        <v>72.379795222510054</v>
      </c>
      <c r="AQ125" s="521">
        <v>11206</v>
      </c>
      <c r="AR125" s="416">
        <v>109.50781095781711</v>
      </c>
      <c r="AS125" s="164" t="s">
        <v>2560</v>
      </c>
      <c r="AT125" s="125" t="s">
        <v>1721</v>
      </c>
      <c r="AU125" s="113" t="s">
        <v>1722</v>
      </c>
    </row>
    <row r="126" spans="1:47" ht="18.75" x14ac:dyDescent="0.25">
      <c r="A126" s="1119"/>
      <c r="B126" s="1119"/>
      <c r="C126" s="1129"/>
      <c r="D126" s="1148"/>
      <c r="E126" s="1119"/>
      <c r="F126" s="1132"/>
      <c r="G126" s="1119"/>
      <c r="H126" s="1132"/>
      <c r="I126" s="1133"/>
      <c r="J126" s="1131"/>
      <c r="K126" s="1134"/>
      <c r="L126" s="1131"/>
      <c r="M126" s="630"/>
      <c r="N126" s="1131"/>
      <c r="O126" s="1131"/>
      <c r="P126" s="1135"/>
      <c r="Q126" s="163"/>
      <c r="R126" s="163"/>
      <c r="S126" s="163"/>
      <c r="T126" s="1125"/>
      <c r="U126" s="394"/>
      <c r="V126" s="338">
        <f>V123+V124+V125</f>
        <v>134471.83240000001</v>
      </c>
      <c r="W126" s="394"/>
      <c r="X126" s="338"/>
      <c r="Y126" s="338">
        <f t="shared" si="30"/>
        <v>11205.986033333334</v>
      </c>
      <c r="Z126" s="807"/>
      <c r="AA126" s="743"/>
      <c r="AB126" s="743"/>
      <c r="AC126" s="1334"/>
      <c r="AD126" s="1001"/>
      <c r="AE126" s="1136"/>
      <c r="AF126" s="467"/>
      <c r="AG126" s="1001"/>
      <c r="AH126" s="1137"/>
      <c r="AI126" s="743"/>
      <c r="AJ126" s="1138"/>
      <c r="AK126" s="747"/>
      <c r="AL126" s="1139"/>
      <c r="AM126" s="743">
        <f>AM123+AM124+AM125</f>
        <v>44824</v>
      </c>
      <c r="AN126" s="743"/>
      <c r="AO126" s="467">
        <f t="shared" ref="AO126" si="36">(Y126*3)-AM126</f>
        <v>-11206.041899999997</v>
      </c>
      <c r="AP126" s="338">
        <f t="shared" si="24"/>
        <v>33.333374878589069</v>
      </c>
      <c r="AQ126" s="1140"/>
      <c r="AR126" s="1335"/>
      <c r="AS126" s="1142"/>
      <c r="AT126" s="1160"/>
      <c r="AU126" s="1134"/>
    </row>
    <row r="127" spans="1:47" ht="168.75" x14ac:dyDescent="0.25">
      <c r="A127" s="8">
        <v>109</v>
      </c>
      <c r="B127" s="115">
        <v>50</v>
      </c>
      <c r="C127" s="119" t="s">
        <v>422</v>
      </c>
      <c r="D127" s="120" t="s">
        <v>423</v>
      </c>
      <c r="E127" s="115">
        <v>40802474</v>
      </c>
      <c r="F127" s="110">
        <v>6510700000</v>
      </c>
      <c r="G127" s="115" t="s">
        <v>424</v>
      </c>
      <c r="H127" s="110" t="s">
        <v>3250</v>
      </c>
      <c r="I127" s="111" t="s">
        <v>425</v>
      </c>
      <c r="J127" s="109" t="s">
        <v>426</v>
      </c>
      <c r="K127" s="113" t="s">
        <v>1473</v>
      </c>
      <c r="L127" s="109" t="s">
        <v>427</v>
      </c>
      <c r="M127" s="112" t="s">
        <v>428</v>
      </c>
      <c r="N127" s="109" t="s">
        <v>3458</v>
      </c>
      <c r="O127" s="109" t="s">
        <v>8</v>
      </c>
      <c r="P127" s="114">
        <v>1.83E-2</v>
      </c>
      <c r="Q127" s="107">
        <f>R127/183</f>
        <v>1570.22</v>
      </c>
      <c r="R127" s="107">
        <v>287350.26</v>
      </c>
      <c r="S127" s="107" t="s">
        <v>429</v>
      </c>
      <c r="T127" s="369"/>
      <c r="U127" s="344">
        <f t="shared" si="33"/>
        <v>3017.1777300000003</v>
      </c>
      <c r="V127" s="344">
        <f t="shared" si="31"/>
        <v>3017.1777300000003</v>
      </c>
      <c r="W127" s="344">
        <v>1.05</v>
      </c>
      <c r="X127" s="344">
        <f t="shared" si="28"/>
        <v>16.487310000000001</v>
      </c>
      <c r="Y127" s="344">
        <f t="shared" si="30"/>
        <v>251.43147750000003</v>
      </c>
      <c r="Z127" s="840"/>
      <c r="AA127" s="904"/>
      <c r="AB127" s="904"/>
      <c r="AD127" s="483">
        <v>3124.35</v>
      </c>
      <c r="AE127" s="810"/>
      <c r="AF127" s="811"/>
      <c r="AG127" s="364"/>
      <c r="AH127" s="364"/>
      <c r="AI127" s="364"/>
      <c r="AJ127" s="762"/>
      <c r="AK127" s="529"/>
      <c r="AL127" s="756"/>
      <c r="AM127" s="342">
        <f t="shared" si="22"/>
        <v>3124.35</v>
      </c>
      <c r="AN127" s="342">
        <f t="shared" si="23"/>
        <v>3124.35</v>
      </c>
      <c r="AO127" s="468"/>
      <c r="AP127" s="332">
        <f t="shared" si="24"/>
        <v>103.55207016591626</v>
      </c>
      <c r="AQ127" s="107">
        <v>2873.4985500000003</v>
      </c>
      <c r="AR127" s="722">
        <v>99.999859057026782</v>
      </c>
      <c r="AS127" s="164" t="s">
        <v>2568</v>
      </c>
      <c r="AT127" s="125" t="s">
        <v>1723</v>
      </c>
      <c r="AU127" s="113" t="s">
        <v>1634</v>
      </c>
    </row>
    <row r="128" spans="1:47" ht="168.75" x14ac:dyDescent="0.25">
      <c r="A128" s="8">
        <v>110</v>
      </c>
      <c r="B128" s="115"/>
      <c r="C128" s="119" t="s">
        <v>422</v>
      </c>
      <c r="D128" s="120" t="s">
        <v>423</v>
      </c>
      <c r="E128" s="115">
        <v>40802474</v>
      </c>
      <c r="F128" s="110">
        <v>6510700000</v>
      </c>
      <c r="G128" s="115" t="s">
        <v>430</v>
      </c>
      <c r="H128" s="110" t="s">
        <v>3250</v>
      </c>
      <c r="I128" s="111" t="s">
        <v>425</v>
      </c>
      <c r="J128" s="109" t="s">
        <v>431</v>
      </c>
      <c r="K128" s="113" t="s">
        <v>1473</v>
      </c>
      <c r="L128" s="109" t="s">
        <v>432</v>
      </c>
      <c r="M128" s="112" t="s">
        <v>428</v>
      </c>
      <c r="N128" s="109" t="s">
        <v>3458</v>
      </c>
      <c r="O128" s="109" t="s">
        <v>8</v>
      </c>
      <c r="P128" s="114">
        <v>0.20910000000000001</v>
      </c>
      <c r="Q128" s="107">
        <f>R128/2091</f>
        <v>1570.22</v>
      </c>
      <c r="R128" s="107">
        <v>3283330.02</v>
      </c>
      <c r="S128" s="107" t="s">
        <v>433</v>
      </c>
      <c r="T128" s="369"/>
      <c r="U128" s="344">
        <f t="shared" si="33"/>
        <v>34474.965210000002</v>
      </c>
      <c r="V128" s="344">
        <f t="shared" si="31"/>
        <v>34474.965210000002</v>
      </c>
      <c r="W128" s="344">
        <v>1.05</v>
      </c>
      <c r="X128" s="344">
        <f t="shared" si="28"/>
        <v>16.487310000000001</v>
      </c>
      <c r="Y128" s="344">
        <f t="shared" si="30"/>
        <v>2872.9137675000002</v>
      </c>
      <c r="Z128" s="840"/>
      <c r="AA128" s="812">
        <v>3124.35</v>
      </c>
      <c r="AB128" s="809">
        <v>3124.35</v>
      </c>
      <c r="AC128" s="407">
        <v>3124.35</v>
      </c>
      <c r="AD128" s="483"/>
      <c r="AE128" s="809"/>
      <c r="AF128" s="812"/>
      <c r="AG128" s="364"/>
      <c r="AH128" s="364"/>
      <c r="AI128" s="364"/>
      <c r="AJ128" s="762"/>
      <c r="AK128" s="529"/>
      <c r="AL128" s="756"/>
      <c r="AM128" s="342">
        <f t="shared" si="22"/>
        <v>9373.0499999999993</v>
      </c>
      <c r="AN128" s="342">
        <f>SUM(AA128:AL128)</f>
        <v>9373.0499999999993</v>
      </c>
      <c r="AO128" s="468"/>
      <c r="AP128" s="332">
        <f t="shared" si="24"/>
        <v>27.187989727923494</v>
      </c>
      <c r="AQ128" s="107">
        <v>32833.298349999997</v>
      </c>
      <c r="AR128" s="12">
        <v>99.999994365476553</v>
      </c>
      <c r="AS128" s="164" t="s">
        <v>2568</v>
      </c>
      <c r="AT128" s="125" t="s">
        <v>1723</v>
      </c>
      <c r="AU128" s="113" t="s">
        <v>1634</v>
      </c>
    </row>
    <row r="129" spans="1:48" ht="18.75" x14ac:dyDescent="0.25">
      <c r="A129" s="1119"/>
      <c r="B129" s="1119"/>
      <c r="C129" s="1129"/>
      <c r="D129" s="1148"/>
      <c r="E129" s="1119"/>
      <c r="F129" s="1132"/>
      <c r="G129" s="1132"/>
      <c r="H129" s="1132"/>
      <c r="I129" s="1133"/>
      <c r="J129" s="1131"/>
      <c r="K129" s="1134"/>
      <c r="L129" s="1131"/>
      <c r="M129" s="630"/>
      <c r="N129" s="1131"/>
      <c r="O129" s="1131"/>
      <c r="P129" s="1135"/>
      <c r="Q129" s="163"/>
      <c r="R129" s="163"/>
      <c r="S129" s="163"/>
      <c r="T129" s="1125"/>
      <c r="U129" s="394"/>
      <c r="V129" s="1161">
        <f>V127+V128</f>
        <v>37492.142940000005</v>
      </c>
      <c r="W129" s="394"/>
      <c r="X129" s="394"/>
      <c r="Y129" s="394">
        <f>Y127+Y128</f>
        <v>3124.3452450000004</v>
      </c>
      <c r="Z129" s="840"/>
      <c r="AA129" s="1336"/>
      <c r="AB129" s="1337"/>
      <c r="AC129" s="883"/>
      <c r="AD129" s="1001"/>
      <c r="AE129" s="1337"/>
      <c r="AF129" s="1336"/>
      <c r="AG129" s="747"/>
      <c r="AH129" s="747"/>
      <c r="AI129" s="747"/>
      <c r="AJ129" s="1338"/>
      <c r="AK129" s="747"/>
      <c r="AL129" s="1339"/>
      <c r="AM129" s="747">
        <f>AM127+AM128</f>
        <v>12497.4</v>
      </c>
      <c r="AN129" s="747"/>
      <c r="AO129" s="467">
        <f t="shared" ref="AO129:AO131" si="37">(Y129*3)-AM129</f>
        <v>-3124.3642649999983</v>
      </c>
      <c r="AP129" s="394"/>
      <c r="AQ129" s="163"/>
      <c r="AR129" s="163"/>
      <c r="AS129" s="1142"/>
      <c r="AT129" s="1143"/>
      <c r="AU129" s="1134"/>
    </row>
    <row r="130" spans="1:48" ht="262.5" x14ac:dyDescent="0.25">
      <c r="A130" s="8">
        <v>111</v>
      </c>
      <c r="B130" s="115">
        <v>51</v>
      </c>
      <c r="C130" s="119" t="s">
        <v>434</v>
      </c>
      <c r="D130" s="183" t="s">
        <v>435</v>
      </c>
      <c r="E130" s="109">
        <v>30691543</v>
      </c>
      <c r="F130" s="110">
        <v>6510700000</v>
      </c>
      <c r="G130" s="110" t="s">
        <v>436</v>
      </c>
      <c r="H130" s="110" t="s">
        <v>2777</v>
      </c>
      <c r="I130" s="111" t="s">
        <v>107</v>
      </c>
      <c r="J130" s="109" t="s">
        <v>438</v>
      </c>
      <c r="K130" s="113" t="s">
        <v>439</v>
      </c>
      <c r="L130" s="109" t="s">
        <v>440</v>
      </c>
      <c r="M130" s="112" t="s">
        <v>441</v>
      </c>
      <c r="N130" s="109" t="s">
        <v>3455</v>
      </c>
      <c r="O130" s="109" t="s">
        <v>8</v>
      </c>
      <c r="P130" s="114">
        <v>7.2400000000000006E-2</v>
      </c>
      <c r="Q130" s="107">
        <v>853.15</v>
      </c>
      <c r="R130" s="107">
        <v>617680.6</v>
      </c>
      <c r="S130" s="107" t="s">
        <v>442</v>
      </c>
      <c r="T130" s="369"/>
      <c r="U130" s="344">
        <f t="shared" si="33"/>
        <v>74121.671999999991</v>
      </c>
      <c r="V130" s="344">
        <f t="shared" si="31"/>
        <v>74121.671999999991</v>
      </c>
      <c r="W130" s="344">
        <v>12</v>
      </c>
      <c r="X130" s="345">
        <f t="shared" si="28"/>
        <v>102.37799999999997</v>
      </c>
      <c r="Y130" s="345">
        <f t="shared" si="30"/>
        <v>6176.8059999999996</v>
      </c>
      <c r="Z130" s="840"/>
      <c r="AA130" s="852">
        <f>2058.94+4117.87</f>
        <v>6176.8099999999995</v>
      </c>
      <c r="AB130" s="359">
        <v>6176.81</v>
      </c>
      <c r="AC130" s="407"/>
      <c r="AD130" s="483"/>
      <c r="AE130" s="422"/>
      <c r="AF130" s="462"/>
      <c r="AG130" s="483"/>
      <c r="AH130" s="502"/>
      <c r="AI130" s="359"/>
      <c r="AJ130" s="751"/>
      <c r="AK130" s="529"/>
      <c r="AL130" s="752"/>
      <c r="AM130" s="340">
        <f t="shared" si="22"/>
        <v>12353.619999999999</v>
      </c>
      <c r="AN130" s="340">
        <f t="shared" si="23"/>
        <v>12353.619999999999</v>
      </c>
      <c r="AO130" s="406">
        <f t="shared" si="37"/>
        <v>6176.7979999999989</v>
      </c>
      <c r="AP130" s="333">
        <f t="shared" si="24"/>
        <v>16.666677459731346</v>
      </c>
      <c r="AQ130" s="521">
        <v>49414.450000000004</v>
      </c>
      <c r="AR130" s="803">
        <v>66.666669364932844</v>
      </c>
      <c r="AS130" s="164" t="s">
        <v>3097</v>
      </c>
      <c r="AT130" s="128" t="s">
        <v>1724</v>
      </c>
      <c r="AU130" s="113" t="s">
        <v>1634</v>
      </c>
    </row>
    <row r="131" spans="1:48" ht="409.5" x14ac:dyDescent="0.25">
      <c r="A131" s="8">
        <v>112</v>
      </c>
      <c r="B131" s="115">
        <v>52</v>
      </c>
      <c r="C131" s="119" t="s">
        <v>443</v>
      </c>
      <c r="D131" s="183" t="s">
        <v>444</v>
      </c>
      <c r="E131" s="109">
        <v>41128244</v>
      </c>
      <c r="F131" s="110">
        <v>6510700000</v>
      </c>
      <c r="G131" s="110" t="s">
        <v>445</v>
      </c>
      <c r="H131" s="110" t="s">
        <v>446</v>
      </c>
      <c r="I131" s="111" t="s">
        <v>447</v>
      </c>
      <c r="J131" s="109" t="s">
        <v>448</v>
      </c>
      <c r="K131" s="113" t="s">
        <v>449</v>
      </c>
      <c r="L131" s="109" t="s">
        <v>450</v>
      </c>
      <c r="M131" s="112" t="s">
        <v>1474</v>
      </c>
      <c r="N131" s="109"/>
      <c r="O131" s="109" t="s">
        <v>8</v>
      </c>
      <c r="P131" s="114">
        <v>20.14</v>
      </c>
      <c r="Q131" s="107">
        <v>147.21</v>
      </c>
      <c r="R131" s="107">
        <v>29648094</v>
      </c>
      <c r="S131" s="107" t="s">
        <v>451</v>
      </c>
      <c r="T131" s="369"/>
      <c r="U131" s="344">
        <f t="shared" si="33"/>
        <v>296480.94</v>
      </c>
      <c r="V131" s="345">
        <f t="shared" si="31"/>
        <v>296480.94</v>
      </c>
      <c r="W131" s="345">
        <v>1</v>
      </c>
      <c r="X131" s="345">
        <f t="shared" si="28"/>
        <v>1.4721</v>
      </c>
      <c r="Y131" s="345">
        <f t="shared" si="30"/>
        <v>24706.744999999999</v>
      </c>
      <c r="Z131" s="807"/>
      <c r="AA131" s="852">
        <v>24706.75</v>
      </c>
      <c r="AB131" s="359">
        <v>24706.75</v>
      </c>
      <c r="AC131" s="407"/>
      <c r="AD131" s="483"/>
      <c r="AE131" s="422"/>
      <c r="AF131" s="462"/>
      <c r="AG131" s="483"/>
      <c r="AH131" s="502"/>
      <c r="AI131" s="359"/>
      <c r="AJ131" s="751"/>
      <c r="AK131" s="529"/>
      <c r="AL131" s="752"/>
      <c r="AM131" s="340">
        <f t="shared" si="22"/>
        <v>49413.5</v>
      </c>
      <c r="AN131" s="340">
        <f t="shared" si="23"/>
        <v>49413.5</v>
      </c>
      <c r="AO131" s="406">
        <f t="shared" si="37"/>
        <v>24706.735000000001</v>
      </c>
      <c r="AP131" s="333">
        <f t="shared" si="24"/>
        <v>16.666670039564771</v>
      </c>
      <c r="AQ131" s="521">
        <v>235610.75</v>
      </c>
      <c r="AR131" s="803">
        <v>79.469105164062142</v>
      </c>
      <c r="AS131" s="164" t="s">
        <v>2584</v>
      </c>
      <c r="AT131" s="128" t="s">
        <v>1725</v>
      </c>
      <c r="AU131" s="113" t="s">
        <v>1726</v>
      </c>
    </row>
    <row r="132" spans="1:48" ht="337.5" x14ac:dyDescent="0.25">
      <c r="A132" s="8">
        <v>113</v>
      </c>
      <c r="B132" s="115"/>
      <c r="C132" s="119" t="s">
        <v>3130</v>
      </c>
      <c r="D132" s="183" t="s">
        <v>3131</v>
      </c>
      <c r="E132" s="109">
        <v>42075639</v>
      </c>
      <c r="F132" s="110">
        <v>6510700000</v>
      </c>
      <c r="G132" s="110" t="s">
        <v>3132</v>
      </c>
      <c r="H132" s="110" t="s">
        <v>3134</v>
      </c>
      <c r="I132" s="111" t="s">
        <v>3135</v>
      </c>
      <c r="J132" s="109" t="s">
        <v>3136</v>
      </c>
      <c r="K132" s="113" t="s">
        <v>2940</v>
      </c>
      <c r="L132" s="109" t="s">
        <v>3138</v>
      </c>
      <c r="M132" s="112" t="s">
        <v>3140</v>
      </c>
      <c r="N132" s="109"/>
      <c r="O132" s="109" t="s">
        <v>8</v>
      </c>
      <c r="P132" s="114">
        <v>15.6724</v>
      </c>
      <c r="Q132" s="107">
        <f>R132/156724</f>
        <v>107.64</v>
      </c>
      <c r="R132" s="107">
        <v>16869771.359999999</v>
      </c>
      <c r="S132" s="107" t="s">
        <v>3142</v>
      </c>
      <c r="T132" s="369"/>
      <c r="U132" s="344">
        <v>177132.6</v>
      </c>
      <c r="V132" s="345">
        <f t="shared" si="31"/>
        <v>177132.6</v>
      </c>
      <c r="W132" s="345">
        <v>1.05</v>
      </c>
      <c r="X132" s="345">
        <f>U132/(P132*10000)</f>
        <v>1.1302200045940636</v>
      </c>
      <c r="Y132" s="345">
        <f t="shared" si="30"/>
        <v>14761.050000000001</v>
      </c>
      <c r="Z132" s="807"/>
      <c r="AA132" s="852"/>
      <c r="AB132" s="359"/>
      <c r="AC132" s="407"/>
      <c r="AD132" s="483"/>
      <c r="AE132" s="422"/>
      <c r="AF132" s="462"/>
      <c r="AG132" s="483"/>
      <c r="AH132" s="502"/>
      <c r="AI132" s="359"/>
      <c r="AJ132" s="751"/>
      <c r="AK132" s="529"/>
      <c r="AL132" s="752"/>
      <c r="AM132" s="340">
        <f t="shared" si="22"/>
        <v>0</v>
      </c>
      <c r="AN132" s="340">
        <f t="shared" si="23"/>
        <v>0</v>
      </c>
      <c r="AO132" s="468"/>
      <c r="AP132" s="333">
        <f t="shared" si="24"/>
        <v>0</v>
      </c>
      <c r="AQ132" s="521">
        <v>0</v>
      </c>
      <c r="AR132" s="803">
        <v>0</v>
      </c>
      <c r="AS132" s="164">
        <v>47296</v>
      </c>
      <c r="AT132" s="128" t="s">
        <v>3143</v>
      </c>
      <c r="AU132" s="113" t="s">
        <v>3144</v>
      </c>
    </row>
    <row r="133" spans="1:48" ht="337.5" x14ac:dyDescent="0.25">
      <c r="A133" s="8">
        <v>114</v>
      </c>
      <c r="B133" s="8"/>
      <c r="C133" s="103" t="s">
        <v>3130</v>
      </c>
      <c r="D133" s="183" t="s">
        <v>3131</v>
      </c>
      <c r="E133" s="109">
        <v>42075639</v>
      </c>
      <c r="F133" s="110">
        <v>6510700000</v>
      </c>
      <c r="G133" s="110" t="s">
        <v>3133</v>
      </c>
      <c r="H133" s="110" t="s">
        <v>3134</v>
      </c>
      <c r="I133" s="111" t="s">
        <v>3135</v>
      </c>
      <c r="J133" s="109" t="s">
        <v>3137</v>
      </c>
      <c r="K133" s="113" t="s">
        <v>2940</v>
      </c>
      <c r="L133" s="109" t="s">
        <v>3139</v>
      </c>
      <c r="M133" s="112" t="s">
        <v>3140</v>
      </c>
      <c r="N133" s="109"/>
      <c r="O133" s="109" t="s">
        <v>8</v>
      </c>
      <c r="P133" s="114">
        <v>9.3757000000000001</v>
      </c>
      <c r="Q133" s="107">
        <f>R133/93757</f>
        <v>149.37</v>
      </c>
      <c r="R133" s="107">
        <v>14004483.09</v>
      </c>
      <c r="S133" s="107" t="s">
        <v>3141</v>
      </c>
      <c r="T133" s="369"/>
      <c r="U133" s="336">
        <v>147047.07</v>
      </c>
      <c r="V133" s="337">
        <f t="shared" si="31"/>
        <v>147047.07</v>
      </c>
      <c r="W133" s="337">
        <v>1.05</v>
      </c>
      <c r="X133" s="337">
        <f>U133/(P133*10000)</f>
        <v>1.5683849739219473</v>
      </c>
      <c r="Y133" s="337">
        <f t="shared" si="30"/>
        <v>12253.922500000001</v>
      </c>
      <c r="Z133" s="807"/>
      <c r="AA133" s="743"/>
      <c r="AB133" s="396"/>
      <c r="AC133" s="464"/>
      <c r="AD133" s="458"/>
      <c r="AE133" s="430"/>
      <c r="AF133" s="467"/>
      <c r="AG133" s="458"/>
      <c r="AH133" s="745"/>
      <c r="AI133" s="396"/>
      <c r="AJ133" s="746"/>
      <c r="AK133" s="747"/>
      <c r="AL133" s="748"/>
      <c r="AM133" s="396">
        <f t="shared" si="22"/>
        <v>0</v>
      </c>
      <c r="AN133" s="396">
        <f t="shared" si="23"/>
        <v>0</v>
      </c>
      <c r="AO133" s="470"/>
      <c r="AP133" s="337">
        <f t="shared" si="24"/>
        <v>0</v>
      </c>
      <c r="AQ133" s="392">
        <v>0</v>
      </c>
      <c r="AR133" s="416">
        <v>0</v>
      </c>
      <c r="AS133" s="164">
        <v>47296</v>
      </c>
      <c r="AT133" s="128" t="s">
        <v>3143</v>
      </c>
      <c r="AU133" s="113" t="s">
        <v>3144</v>
      </c>
    </row>
    <row r="134" spans="1:48" ht="18.75" x14ac:dyDescent="0.25">
      <c r="A134" s="1341"/>
      <c r="B134" s="1341"/>
      <c r="C134" s="1296"/>
      <c r="D134" s="1342"/>
      <c r="E134" s="1343"/>
      <c r="F134" s="1344"/>
      <c r="G134" s="1344"/>
      <c r="H134" s="1344"/>
      <c r="I134" s="1345"/>
      <c r="J134" s="1343"/>
      <c r="K134" s="1346"/>
      <c r="L134" s="1343"/>
      <c r="M134" s="1347"/>
      <c r="N134" s="1343"/>
      <c r="O134" s="1343"/>
      <c r="P134" s="1348"/>
      <c r="Q134" s="1156"/>
      <c r="R134" s="1156"/>
      <c r="S134" s="1156"/>
      <c r="T134" s="1349"/>
      <c r="U134" s="1277"/>
      <c r="V134" s="1277">
        <f>V132+V133</f>
        <v>324179.67000000004</v>
      </c>
      <c r="W134" s="1277"/>
      <c r="X134" s="1277"/>
      <c r="Y134" s="1277">
        <f t="shared" ref="Y134:AM134" si="38">Y132+Y133</f>
        <v>27014.972500000003</v>
      </c>
      <c r="Z134" s="1340">
        <f t="shared" si="38"/>
        <v>0</v>
      </c>
      <c r="AA134" s="1270">
        <f t="shared" si="38"/>
        <v>0</v>
      </c>
      <c r="AB134" s="1270">
        <f t="shared" si="38"/>
        <v>0</v>
      </c>
      <c r="AC134" s="1270">
        <f t="shared" si="38"/>
        <v>0</v>
      </c>
      <c r="AD134" s="1270">
        <f t="shared" si="38"/>
        <v>0</v>
      </c>
      <c r="AE134" s="1270">
        <f t="shared" si="38"/>
        <v>0</v>
      </c>
      <c r="AF134" s="1270">
        <f t="shared" si="38"/>
        <v>0</v>
      </c>
      <c r="AG134" s="1270">
        <f t="shared" si="38"/>
        <v>0</v>
      </c>
      <c r="AH134" s="1270">
        <f t="shared" si="38"/>
        <v>0</v>
      </c>
      <c r="AI134" s="1270">
        <f t="shared" si="38"/>
        <v>0</v>
      </c>
      <c r="AJ134" s="1350">
        <f t="shared" si="38"/>
        <v>0</v>
      </c>
      <c r="AK134" s="1270">
        <f t="shared" si="38"/>
        <v>0</v>
      </c>
      <c r="AL134" s="1351">
        <f t="shared" si="38"/>
        <v>0</v>
      </c>
      <c r="AM134" s="1270">
        <f t="shared" si="38"/>
        <v>0</v>
      </c>
      <c r="AN134" s="1270"/>
      <c r="AO134" s="1270">
        <f t="shared" ref="AO134:AO137" si="39">(Y134*3)-AM134</f>
        <v>81044.91750000001</v>
      </c>
      <c r="AP134" s="1277">
        <f t="shared" si="24"/>
        <v>0</v>
      </c>
      <c r="AQ134" s="1140"/>
      <c r="AR134" s="701"/>
      <c r="AS134" s="1352"/>
      <c r="AT134" s="1353"/>
      <c r="AU134" s="1346"/>
    </row>
    <row r="135" spans="1:48" ht="150" x14ac:dyDescent="0.25">
      <c r="A135" s="8">
        <v>115</v>
      </c>
      <c r="B135" s="8">
        <v>53</v>
      </c>
      <c r="C135" s="889" t="s">
        <v>2053</v>
      </c>
      <c r="D135" s="544" t="s">
        <v>2055</v>
      </c>
      <c r="E135" s="545">
        <v>42621469</v>
      </c>
      <c r="F135" s="514">
        <v>6510700000</v>
      </c>
      <c r="G135" s="514" t="s">
        <v>2056</v>
      </c>
      <c r="H135" s="514" t="s">
        <v>2054</v>
      </c>
      <c r="I135" s="515" t="s">
        <v>2057</v>
      </c>
      <c r="J135" s="545" t="s">
        <v>2058</v>
      </c>
      <c r="K135" s="525" t="s">
        <v>2059</v>
      </c>
      <c r="L135" s="545" t="s">
        <v>2060</v>
      </c>
      <c r="M135" s="546" t="s">
        <v>2023</v>
      </c>
      <c r="N135" s="545"/>
      <c r="O135" s="545" t="s">
        <v>8</v>
      </c>
      <c r="P135" s="547">
        <v>1.4800000000000001E-2</v>
      </c>
      <c r="Q135" s="521">
        <f>R135/148</f>
        <v>1755.72</v>
      </c>
      <c r="R135" s="521">
        <v>259846.56</v>
      </c>
      <c r="S135" s="521" t="s">
        <v>2061</v>
      </c>
      <c r="T135" s="522"/>
      <c r="U135" s="415">
        <v>22346.82</v>
      </c>
      <c r="V135" s="415">
        <v>19553.52</v>
      </c>
      <c r="W135" s="415">
        <v>8.6</v>
      </c>
      <c r="X135" s="415">
        <f>V135/(P135*10000)</f>
        <v>132.1183783783784</v>
      </c>
      <c r="Y135" s="415">
        <f t="shared" si="30"/>
        <v>1629.46</v>
      </c>
      <c r="Z135" s="839"/>
      <c r="AA135" s="883">
        <v>1862.24</v>
      </c>
      <c r="AB135" s="464">
        <v>1862.24</v>
      </c>
      <c r="AC135" s="464"/>
      <c r="AD135" s="458"/>
      <c r="AE135" s="464"/>
      <c r="AF135" s="883"/>
      <c r="AG135" s="464"/>
      <c r="AH135" s="464"/>
      <c r="AI135" s="464"/>
      <c r="AJ135" s="884"/>
      <c r="AK135" s="747"/>
      <c r="AL135" s="885"/>
      <c r="AM135" s="396">
        <f t="shared" si="22"/>
        <v>3724.48</v>
      </c>
      <c r="AN135" s="396">
        <f t="shared" si="23"/>
        <v>3724.48</v>
      </c>
      <c r="AO135" s="464">
        <f t="shared" si="39"/>
        <v>1163.9000000000001</v>
      </c>
      <c r="AP135" s="415">
        <f t="shared" si="24"/>
        <v>19.047619047619047</v>
      </c>
      <c r="AQ135" s="392">
        <v>18018.190000000002</v>
      </c>
      <c r="AR135" s="548">
        <v>92.148063366595892</v>
      </c>
      <c r="AS135" s="546" t="s">
        <v>2585</v>
      </c>
      <c r="AT135" s="549" t="s">
        <v>1819</v>
      </c>
      <c r="AU135" s="525" t="s">
        <v>1634</v>
      </c>
    </row>
    <row r="136" spans="1:48" ht="150" x14ac:dyDescent="0.25">
      <c r="A136" s="8">
        <v>116</v>
      </c>
      <c r="B136" s="266">
        <v>54</v>
      </c>
      <c r="C136" s="119" t="s">
        <v>2191</v>
      </c>
      <c r="D136" s="183" t="s">
        <v>2192</v>
      </c>
      <c r="E136" s="109">
        <v>19238968</v>
      </c>
      <c r="F136" s="110">
        <v>6510700000</v>
      </c>
      <c r="G136" s="110" t="s">
        <v>2193</v>
      </c>
      <c r="H136" s="110" t="s">
        <v>2192</v>
      </c>
      <c r="I136" s="111" t="s">
        <v>2194</v>
      </c>
      <c r="J136" s="109" t="s">
        <v>2195</v>
      </c>
      <c r="K136" s="113" t="s">
        <v>2032</v>
      </c>
      <c r="L136" s="109" t="s">
        <v>2196</v>
      </c>
      <c r="M136" s="112" t="s">
        <v>2115</v>
      </c>
      <c r="N136" s="109"/>
      <c r="O136" s="109" t="s">
        <v>8</v>
      </c>
      <c r="P136" s="114">
        <v>3.6009000000000002</v>
      </c>
      <c r="Q136" s="107">
        <f>R136/36009</f>
        <v>287.14999999999998</v>
      </c>
      <c r="R136" s="107">
        <v>10339984.35</v>
      </c>
      <c r="S136" s="107" t="s">
        <v>2197</v>
      </c>
      <c r="T136" s="369"/>
      <c r="U136" s="344">
        <f>R136*W136%</f>
        <v>723798.90450000006</v>
      </c>
      <c r="V136" s="345">
        <f>U136</f>
        <v>723798.90450000006</v>
      </c>
      <c r="W136" s="345">
        <v>7</v>
      </c>
      <c r="X136" s="345">
        <f>V136/(P136*10000)</f>
        <v>20.1005</v>
      </c>
      <c r="Y136" s="345">
        <f t="shared" si="30"/>
        <v>60316.575375000008</v>
      </c>
      <c r="Z136" s="807"/>
      <c r="AA136" s="852">
        <v>60316.58</v>
      </c>
      <c r="AB136" s="359">
        <v>60316.58</v>
      </c>
      <c r="AC136" s="407"/>
      <c r="AD136" s="483"/>
      <c r="AE136" s="422"/>
      <c r="AF136" s="462"/>
      <c r="AG136" s="483"/>
      <c r="AH136" s="502"/>
      <c r="AI136" s="359"/>
      <c r="AJ136" s="751"/>
      <c r="AK136" s="529"/>
      <c r="AL136" s="752"/>
      <c r="AM136" s="340">
        <f t="shared" si="22"/>
        <v>120633.16</v>
      </c>
      <c r="AN136" s="340">
        <f t="shared" si="23"/>
        <v>120633.16</v>
      </c>
      <c r="AO136" s="406">
        <f t="shared" si="39"/>
        <v>60316.566125000012</v>
      </c>
      <c r="AP136" s="345">
        <f t="shared" si="24"/>
        <v>16.66666794464594</v>
      </c>
      <c r="AQ136" s="521">
        <v>663482.38</v>
      </c>
      <c r="AR136" s="801">
        <v>107.31707230281461</v>
      </c>
      <c r="AS136" s="112" t="s">
        <v>2586</v>
      </c>
      <c r="AT136" s="128" t="s">
        <v>1716</v>
      </c>
      <c r="AU136" s="113" t="s">
        <v>1637</v>
      </c>
    </row>
    <row r="137" spans="1:48" ht="168.75" x14ac:dyDescent="0.25">
      <c r="A137" s="8">
        <v>117</v>
      </c>
      <c r="B137" s="115">
        <v>55</v>
      </c>
      <c r="C137" s="119" t="s">
        <v>2230</v>
      </c>
      <c r="D137" s="183" t="s">
        <v>2231</v>
      </c>
      <c r="E137" s="109">
        <v>36922673</v>
      </c>
      <c r="F137" s="110">
        <v>6510700000</v>
      </c>
      <c r="G137" s="110" t="s">
        <v>2232</v>
      </c>
      <c r="H137" s="110" t="s">
        <v>2233</v>
      </c>
      <c r="I137" s="111" t="s">
        <v>2234</v>
      </c>
      <c r="J137" s="109" t="s">
        <v>2235</v>
      </c>
      <c r="K137" s="113" t="s">
        <v>2236</v>
      </c>
      <c r="L137" s="109" t="s">
        <v>2237</v>
      </c>
      <c r="M137" s="112">
        <v>43546</v>
      </c>
      <c r="N137" s="109"/>
      <c r="O137" s="109" t="s">
        <v>8</v>
      </c>
      <c r="P137" s="114">
        <v>1.5699999999999999E-2</v>
      </c>
      <c r="Q137" s="107">
        <v>587.29</v>
      </c>
      <c r="R137" s="107">
        <f>Q137*157</f>
        <v>92204.53</v>
      </c>
      <c r="S137" s="107" t="s">
        <v>2238</v>
      </c>
      <c r="T137" s="369"/>
      <c r="U137" s="344">
        <v>2766.14</v>
      </c>
      <c r="V137" s="345">
        <v>2766.14</v>
      </c>
      <c r="W137" s="345">
        <v>3</v>
      </c>
      <c r="X137" s="345">
        <f t="shared" ref="X137:X146" si="40">U137/(P137*10000)</f>
        <v>17.618726114649682</v>
      </c>
      <c r="Y137" s="345">
        <f t="shared" si="30"/>
        <v>230.51166666666666</v>
      </c>
      <c r="Z137" s="807"/>
      <c r="AA137" s="852"/>
      <c r="AB137" s="359"/>
      <c r="AC137" s="407">
        <v>2766.14</v>
      </c>
      <c r="AD137" s="483"/>
      <c r="AE137" s="422"/>
      <c r="AF137" s="462"/>
      <c r="AG137" s="483"/>
      <c r="AH137" s="502"/>
      <c r="AI137" s="359"/>
      <c r="AJ137" s="751"/>
      <c r="AK137" s="529"/>
      <c r="AL137" s="752"/>
      <c r="AM137" s="340">
        <f t="shared" si="22"/>
        <v>2766.14</v>
      </c>
      <c r="AN137" s="340">
        <f t="shared" si="23"/>
        <v>2766.14</v>
      </c>
      <c r="AO137" s="468">
        <f t="shared" si="39"/>
        <v>-2074.605</v>
      </c>
      <c r="AP137" s="345">
        <f t="shared" si="24"/>
        <v>100</v>
      </c>
      <c r="AQ137" s="521">
        <v>2766.14</v>
      </c>
      <c r="AR137" s="801">
        <v>100</v>
      </c>
      <c r="AS137" s="112" t="s">
        <v>2586</v>
      </c>
      <c r="AT137" s="128" t="s">
        <v>2239</v>
      </c>
      <c r="AU137" s="113" t="s">
        <v>1662</v>
      </c>
    </row>
    <row r="138" spans="1:48" ht="150" x14ac:dyDescent="0.25">
      <c r="A138" s="8">
        <v>118</v>
      </c>
      <c r="B138" s="115">
        <v>56</v>
      </c>
      <c r="C138" s="119" t="s">
        <v>2300</v>
      </c>
      <c r="D138" s="439" t="s">
        <v>2301</v>
      </c>
      <c r="E138" s="265">
        <v>31740093</v>
      </c>
      <c r="F138" s="270">
        <v>6510700000</v>
      </c>
      <c r="G138" s="270" t="s">
        <v>2302</v>
      </c>
      <c r="H138" s="270" t="s">
        <v>2303</v>
      </c>
      <c r="I138" s="271" t="s">
        <v>2304</v>
      </c>
      <c r="J138" s="265" t="s">
        <v>2305</v>
      </c>
      <c r="K138" s="267" t="s">
        <v>2306</v>
      </c>
      <c r="L138" s="265" t="s">
        <v>2307</v>
      </c>
      <c r="M138" s="283">
        <v>43566</v>
      </c>
      <c r="N138" s="265"/>
      <c r="O138" s="265" t="s">
        <v>8</v>
      </c>
      <c r="P138" s="268">
        <v>1.35E-2</v>
      </c>
      <c r="Q138" s="269">
        <f>R138/135</f>
        <v>931.18999999999994</v>
      </c>
      <c r="R138" s="269">
        <v>125710.65</v>
      </c>
      <c r="S138" s="269" t="s">
        <v>2308</v>
      </c>
      <c r="T138" s="374">
        <v>14645.49</v>
      </c>
      <c r="U138" s="349">
        <v>14645.49</v>
      </c>
      <c r="V138" s="349">
        <f t="shared" ref="V138:V182" si="41">U138</f>
        <v>14645.49</v>
      </c>
      <c r="W138" s="349">
        <v>11.65</v>
      </c>
      <c r="X138" s="349">
        <f t="shared" si="40"/>
        <v>108.48511111111111</v>
      </c>
      <c r="Y138" s="349">
        <f t="shared" si="30"/>
        <v>1220.4575</v>
      </c>
      <c r="Z138" s="840"/>
      <c r="AA138" s="896">
        <v>1220.46</v>
      </c>
      <c r="AB138" s="410">
        <v>1220.46</v>
      </c>
      <c r="AC138" s="408">
        <v>1220.46</v>
      </c>
      <c r="AD138" s="486"/>
      <c r="AE138" s="410"/>
      <c r="AF138" s="770"/>
      <c r="AG138" s="486"/>
      <c r="AH138" s="504"/>
      <c r="AI138" s="504"/>
      <c r="AJ138" s="765"/>
      <c r="AK138" s="475"/>
      <c r="AL138" s="561"/>
      <c r="AM138" s="340">
        <f t="shared" si="22"/>
        <v>3661.38</v>
      </c>
      <c r="AN138" s="340">
        <f t="shared" si="23"/>
        <v>3661.38</v>
      </c>
      <c r="AO138" s="468"/>
      <c r="AP138" s="349">
        <f t="shared" si="24"/>
        <v>25.000051210304331</v>
      </c>
      <c r="AQ138" s="690">
        <v>8799.7200000000012</v>
      </c>
      <c r="AR138" s="802">
        <v>83.194230674688882</v>
      </c>
      <c r="AS138" s="283" t="s">
        <v>2503</v>
      </c>
      <c r="AT138" s="313" t="s">
        <v>1727</v>
      </c>
      <c r="AU138" s="267" t="s">
        <v>1634</v>
      </c>
    </row>
    <row r="139" spans="1:48" ht="225" x14ac:dyDescent="0.25">
      <c r="A139" s="8">
        <v>119</v>
      </c>
      <c r="B139" s="266"/>
      <c r="C139" s="119" t="s">
        <v>2300</v>
      </c>
      <c r="D139" s="439" t="s">
        <v>2301</v>
      </c>
      <c r="E139" s="265">
        <v>31740093</v>
      </c>
      <c r="F139" s="270">
        <v>6510700000</v>
      </c>
      <c r="G139" s="270" t="s">
        <v>2309</v>
      </c>
      <c r="H139" s="270" t="s">
        <v>2310</v>
      </c>
      <c r="I139" s="271" t="s">
        <v>2311</v>
      </c>
      <c r="J139" s="265" t="s">
        <v>2312</v>
      </c>
      <c r="K139" s="267" t="s">
        <v>2306</v>
      </c>
      <c r="L139" s="265" t="s">
        <v>2313</v>
      </c>
      <c r="M139" s="283">
        <v>43566</v>
      </c>
      <c r="N139" s="265"/>
      <c r="O139" s="265" t="s">
        <v>8</v>
      </c>
      <c r="P139" s="268">
        <v>9.7000000000000003E-3</v>
      </c>
      <c r="Q139" s="269">
        <f>R139/97</f>
        <v>1404.5800000000002</v>
      </c>
      <c r="R139" s="269">
        <v>136244.26</v>
      </c>
      <c r="S139" s="269" t="s">
        <v>2314</v>
      </c>
      <c r="T139" s="374">
        <v>14237.51</v>
      </c>
      <c r="U139" s="349">
        <v>14237.51</v>
      </c>
      <c r="V139" s="349">
        <f t="shared" si="41"/>
        <v>14237.51</v>
      </c>
      <c r="W139" s="349">
        <v>10.45</v>
      </c>
      <c r="X139" s="349">
        <f t="shared" si="40"/>
        <v>146.77845360824742</v>
      </c>
      <c r="Y139" s="349">
        <f t="shared" si="30"/>
        <v>1186.4591666666668</v>
      </c>
      <c r="Z139" s="840"/>
      <c r="AA139" s="475">
        <v>1186.46</v>
      </c>
      <c r="AB139" s="410">
        <v>1186.46</v>
      </c>
      <c r="AC139" s="408">
        <v>1186.46</v>
      </c>
      <c r="AD139" s="486"/>
      <c r="AE139" s="471"/>
      <c r="AF139" s="471"/>
      <c r="AG139" s="486"/>
      <c r="AH139" s="504"/>
      <c r="AI139" s="410"/>
      <c r="AJ139" s="765"/>
      <c r="AK139" s="475"/>
      <c r="AL139" s="561"/>
      <c r="AM139" s="340">
        <f t="shared" si="22"/>
        <v>3559.38</v>
      </c>
      <c r="AN139" s="340">
        <f>SUM(AA139:AL139)</f>
        <v>3559.38</v>
      </c>
      <c r="AO139" s="468"/>
      <c r="AP139" s="349">
        <f t="shared" si="24"/>
        <v>25.000017559250178</v>
      </c>
      <c r="AQ139" s="690">
        <v>9087.33</v>
      </c>
      <c r="AR139" s="802">
        <v>88.375370162360866</v>
      </c>
      <c r="AS139" s="283" t="s">
        <v>2503</v>
      </c>
      <c r="AT139" s="313" t="s">
        <v>1727</v>
      </c>
      <c r="AU139" s="267" t="s">
        <v>1634</v>
      </c>
      <c r="AV139" s="398"/>
    </row>
    <row r="140" spans="1:48" ht="206.25" x14ac:dyDescent="0.25">
      <c r="A140" s="8">
        <v>120</v>
      </c>
      <c r="B140" s="266">
        <v>57</v>
      </c>
      <c r="C140" s="119" t="s">
        <v>2437</v>
      </c>
      <c r="D140" s="439" t="s">
        <v>2438</v>
      </c>
      <c r="E140" s="265">
        <v>36227209</v>
      </c>
      <c r="F140" s="270">
        <v>6510700000</v>
      </c>
      <c r="G140" s="270" t="s">
        <v>2439</v>
      </c>
      <c r="H140" s="270" t="s">
        <v>2440</v>
      </c>
      <c r="I140" s="271" t="s">
        <v>2441</v>
      </c>
      <c r="J140" s="265" t="s">
        <v>2442</v>
      </c>
      <c r="K140" s="267" t="s">
        <v>2443</v>
      </c>
      <c r="L140" s="265" t="s">
        <v>2444</v>
      </c>
      <c r="M140" s="283">
        <v>43627</v>
      </c>
      <c r="N140" s="265"/>
      <c r="O140" s="265" t="s">
        <v>8</v>
      </c>
      <c r="P140" s="268">
        <v>0.04</v>
      </c>
      <c r="Q140" s="269">
        <f>R140/400</f>
        <v>534.66</v>
      </c>
      <c r="R140" s="269">
        <v>213864</v>
      </c>
      <c r="S140" s="269" t="s">
        <v>2445</v>
      </c>
      <c r="T140" s="374">
        <v>7057.52</v>
      </c>
      <c r="U140" s="581">
        <v>7057.52</v>
      </c>
      <c r="V140" s="581">
        <f t="shared" si="41"/>
        <v>7057.52</v>
      </c>
      <c r="W140" s="349">
        <v>3.3</v>
      </c>
      <c r="X140" s="349">
        <f t="shared" si="40"/>
        <v>17.643800000000002</v>
      </c>
      <c r="Y140" s="349">
        <f t="shared" si="30"/>
        <v>588.12666666666667</v>
      </c>
      <c r="Z140" s="840"/>
      <c r="AA140" s="475">
        <v>300</v>
      </c>
      <c r="AB140" s="410">
        <v>500</v>
      </c>
      <c r="AC140" s="408">
        <v>590</v>
      </c>
      <c r="AD140" s="486"/>
      <c r="AE140" s="437"/>
      <c r="AF140" s="469"/>
      <c r="AG140" s="486"/>
      <c r="AH140" s="504"/>
      <c r="AI140" s="410"/>
      <c r="AJ140" s="560"/>
      <c r="AK140" s="475"/>
      <c r="AL140" s="561"/>
      <c r="AM140" s="340">
        <f t="shared" si="22"/>
        <v>1390</v>
      </c>
      <c r="AN140" s="340">
        <f t="shared" si="23"/>
        <v>1390</v>
      </c>
      <c r="AO140" s="468"/>
      <c r="AP140" s="349">
        <f t="shared" si="24"/>
        <v>19.695303732755981</v>
      </c>
      <c r="AQ140" s="690">
        <v>2490.8000000000002</v>
      </c>
      <c r="AR140" s="802">
        <v>63.526717284684274</v>
      </c>
      <c r="AS140" s="310">
        <v>45443</v>
      </c>
      <c r="AT140" s="313" t="s">
        <v>2447</v>
      </c>
      <c r="AU140" s="267" t="s">
        <v>2448</v>
      </c>
      <c r="AV140" s="398"/>
    </row>
    <row r="141" spans="1:48" ht="409.5" x14ac:dyDescent="0.25">
      <c r="A141" s="8">
        <v>121</v>
      </c>
      <c r="B141" s="266">
        <v>58</v>
      </c>
      <c r="C141" s="119" t="s">
        <v>2479</v>
      </c>
      <c r="D141" s="183" t="s">
        <v>2480</v>
      </c>
      <c r="E141" s="109">
        <v>38872186</v>
      </c>
      <c r="F141" s="110">
        <v>6510700000</v>
      </c>
      <c r="G141" s="110" t="s">
        <v>2481</v>
      </c>
      <c r="H141" s="110" t="s">
        <v>2482</v>
      </c>
      <c r="I141" s="111" t="s">
        <v>2483</v>
      </c>
      <c r="J141" s="109" t="s">
        <v>2484</v>
      </c>
      <c r="K141" s="113" t="s">
        <v>2485</v>
      </c>
      <c r="L141" s="109" t="s">
        <v>2486</v>
      </c>
      <c r="M141" s="112" t="s">
        <v>2487</v>
      </c>
      <c r="N141" s="109"/>
      <c r="O141" s="109" t="s">
        <v>8</v>
      </c>
      <c r="P141" s="114">
        <v>0.24709999999999999</v>
      </c>
      <c r="Q141" s="107">
        <f>R141/2471</f>
        <v>123.72</v>
      </c>
      <c r="R141" s="107">
        <v>305712.12</v>
      </c>
      <c r="S141" s="107" t="s">
        <v>2488</v>
      </c>
      <c r="T141" s="369"/>
      <c r="U141" s="344">
        <f>R141*W141%</f>
        <v>9171.3635999999988</v>
      </c>
      <c r="V141" s="344">
        <f t="shared" si="41"/>
        <v>9171.3635999999988</v>
      </c>
      <c r="W141" s="344">
        <v>3</v>
      </c>
      <c r="X141" s="344">
        <f t="shared" si="40"/>
        <v>3.7115999999999993</v>
      </c>
      <c r="Y141" s="344">
        <f t="shared" si="30"/>
        <v>764.2802999999999</v>
      </c>
      <c r="Z141" s="840"/>
      <c r="AA141" s="529">
        <v>9946.8700000000008</v>
      </c>
      <c r="AB141" s="364"/>
      <c r="AC141" s="407"/>
      <c r="AD141" s="483"/>
      <c r="AE141" s="422"/>
      <c r="AF141" s="462"/>
      <c r="AG141" s="483"/>
      <c r="AH141" s="502"/>
      <c r="AI141" s="364"/>
      <c r="AJ141" s="751"/>
      <c r="AK141" s="529"/>
      <c r="AL141" s="756"/>
      <c r="AM141" s="340">
        <f t="shared" si="22"/>
        <v>9946.8700000000008</v>
      </c>
      <c r="AN141" s="340">
        <f t="shared" si="23"/>
        <v>9946.8700000000008</v>
      </c>
      <c r="AO141" s="468"/>
      <c r="AP141" s="344">
        <f t="shared" si="24"/>
        <v>108.45573715995735</v>
      </c>
      <c r="AQ141" s="521">
        <v>5243.12</v>
      </c>
      <c r="AR141" s="801">
        <v>118.80809408352404</v>
      </c>
      <c r="AS141" s="164">
        <v>45470</v>
      </c>
      <c r="AT141" s="128" t="s">
        <v>2489</v>
      </c>
      <c r="AU141" s="113" t="s">
        <v>2490</v>
      </c>
      <c r="AV141" s="411"/>
    </row>
    <row r="142" spans="1:48" ht="409.5" x14ac:dyDescent="0.25">
      <c r="A142" s="8">
        <v>122</v>
      </c>
      <c r="B142" s="266"/>
      <c r="C142" s="119" t="s">
        <v>2479</v>
      </c>
      <c r="D142" s="183" t="s">
        <v>2480</v>
      </c>
      <c r="E142" s="109">
        <v>38872186</v>
      </c>
      <c r="F142" s="110">
        <v>6510700000</v>
      </c>
      <c r="G142" s="110" t="s">
        <v>2491</v>
      </c>
      <c r="H142" s="110" t="s">
        <v>2482</v>
      </c>
      <c r="I142" s="111" t="s">
        <v>2483</v>
      </c>
      <c r="J142" s="109" t="s">
        <v>2492</v>
      </c>
      <c r="K142" s="113" t="s">
        <v>2485</v>
      </c>
      <c r="L142" s="109" t="s">
        <v>2493</v>
      </c>
      <c r="M142" s="112">
        <v>43654</v>
      </c>
      <c r="N142" s="109"/>
      <c r="O142" s="109" t="s">
        <v>8</v>
      </c>
      <c r="P142" s="114">
        <v>3.8999999999999998E-3</v>
      </c>
      <c r="Q142" s="107">
        <f>R142/39</f>
        <v>115.29</v>
      </c>
      <c r="R142" s="107">
        <v>4496.3100000000004</v>
      </c>
      <c r="S142" s="107" t="s">
        <v>2494</v>
      </c>
      <c r="T142" s="369"/>
      <c r="U142" s="344">
        <f>R142*W142%</f>
        <v>134.88930000000002</v>
      </c>
      <c r="V142" s="344">
        <f t="shared" si="41"/>
        <v>134.88930000000002</v>
      </c>
      <c r="W142" s="344">
        <v>3</v>
      </c>
      <c r="X142" s="344">
        <f t="shared" si="40"/>
        <v>3.4587000000000003</v>
      </c>
      <c r="Y142" s="344">
        <f t="shared" si="30"/>
        <v>11.240775000000001</v>
      </c>
      <c r="Z142" s="840"/>
      <c r="AA142" s="529">
        <v>134.88999999999999</v>
      </c>
      <c r="AB142" s="364"/>
      <c r="AC142" s="407"/>
      <c r="AD142" s="483"/>
      <c r="AE142" s="422"/>
      <c r="AF142" s="462"/>
      <c r="AG142" s="483"/>
      <c r="AH142" s="502"/>
      <c r="AI142" s="364"/>
      <c r="AJ142" s="751"/>
      <c r="AK142" s="529"/>
      <c r="AL142" s="756"/>
      <c r="AM142" s="340">
        <f t="shared" si="22"/>
        <v>134.88999999999999</v>
      </c>
      <c r="AN142" s="340">
        <f t="shared" si="23"/>
        <v>134.88999999999999</v>
      </c>
      <c r="AO142" s="468"/>
      <c r="AP142" s="344">
        <f t="shared" si="24"/>
        <v>100.00051894405262</v>
      </c>
      <c r="AQ142" s="521">
        <v>0</v>
      </c>
      <c r="AR142" s="801">
        <v>0</v>
      </c>
      <c r="AS142" s="164">
        <v>45470</v>
      </c>
      <c r="AT142" s="128" t="s">
        <v>2489</v>
      </c>
      <c r="AU142" s="113" t="s">
        <v>2490</v>
      </c>
      <c r="AV142" s="411" t="s">
        <v>2022</v>
      </c>
    </row>
    <row r="143" spans="1:48" ht="18.75" x14ac:dyDescent="0.25">
      <c r="A143" s="8"/>
      <c r="B143" s="8"/>
      <c r="C143" s="103"/>
      <c r="D143" s="1354"/>
      <c r="E143" s="14"/>
      <c r="F143" s="16"/>
      <c r="G143" s="16"/>
      <c r="H143" s="16"/>
      <c r="I143" s="81"/>
      <c r="J143" s="14"/>
      <c r="K143" s="62"/>
      <c r="L143" s="14"/>
      <c r="M143" s="65"/>
      <c r="N143" s="14"/>
      <c r="O143" s="14"/>
      <c r="P143" s="90"/>
      <c r="Q143" s="68"/>
      <c r="R143" s="68"/>
      <c r="S143" s="68"/>
      <c r="T143" s="367"/>
      <c r="U143" s="336"/>
      <c r="V143" s="336">
        <f>V141+V142</f>
        <v>9306.2528999999995</v>
      </c>
      <c r="W143" s="336"/>
      <c r="X143" s="336"/>
      <c r="Y143" s="336">
        <f>Y141+Y142</f>
        <v>775.52107499999988</v>
      </c>
      <c r="Z143" s="840"/>
      <c r="AA143" s="747"/>
      <c r="AB143" s="511"/>
      <c r="AC143" s="464"/>
      <c r="AD143" s="458"/>
      <c r="AE143" s="430"/>
      <c r="AF143" s="467"/>
      <c r="AG143" s="458"/>
      <c r="AH143" s="745"/>
      <c r="AI143" s="511"/>
      <c r="AJ143" s="746"/>
      <c r="AK143" s="747"/>
      <c r="AL143" s="757"/>
      <c r="AM143" s="396">
        <f>AM141+AM142</f>
        <v>10081.76</v>
      </c>
      <c r="AN143" s="396"/>
      <c r="AO143" s="470">
        <f t="shared" ref="AO143:AO146" si="42">(Y143*3)-AM143</f>
        <v>-7755.1967750000003</v>
      </c>
      <c r="AP143" s="336">
        <f t="shared" si="24"/>
        <v>108.33318316548221</v>
      </c>
      <c r="AQ143" s="392"/>
      <c r="AR143" s="1078"/>
      <c r="AS143" s="308"/>
      <c r="AT143" s="94"/>
      <c r="AU143" s="62"/>
      <c r="AV143" s="1355"/>
    </row>
    <row r="144" spans="1:48" ht="243.75" x14ac:dyDescent="0.25">
      <c r="A144" s="8">
        <v>123</v>
      </c>
      <c r="B144" s="266">
        <v>59</v>
      </c>
      <c r="C144" s="119" t="s">
        <v>3561</v>
      </c>
      <c r="D144" s="183" t="s">
        <v>3562</v>
      </c>
      <c r="E144" s="109">
        <v>43145776</v>
      </c>
      <c r="F144" s="110">
        <v>6510700000</v>
      </c>
      <c r="G144" s="110" t="s">
        <v>2532</v>
      </c>
      <c r="H144" s="110" t="s">
        <v>2533</v>
      </c>
      <c r="I144" s="111" t="s">
        <v>3563</v>
      </c>
      <c r="J144" s="112" t="s">
        <v>3566</v>
      </c>
      <c r="K144" s="113" t="s">
        <v>3564</v>
      </c>
      <c r="L144" s="109" t="s">
        <v>3567</v>
      </c>
      <c r="M144" s="112">
        <v>43922</v>
      </c>
      <c r="N144" s="109"/>
      <c r="O144" s="109" t="s">
        <v>8</v>
      </c>
      <c r="P144" s="114">
        <v>10.6175</v>
      </c>
      <c r="Q144" s="107">
        <f>R144/106175</f>
        <v>179.99</v>
      </c>
      <c r="R144" s="107">
        <v>19110438.25</v>
      </c>
      <c r="S144" s="107" t="s">
        <v>2538</v>
      </c>
      <c r="T144" s="369"/>
      <c r="U144" s="344">
        <f>R144*W144%</f>
        <v>1528835.06</v>
      </c>
      <c r="V144" s="344">
        <f t="shared" si="41"/>
        <v>1528835.06</v>
      </c>
      <c r="W144" s="344">
        <v>8</v>
      </c>
      <c r="X144" s="344">
        <f t="shared" si="40"/>
        <v>14.3992</v>
      </c>
      <c r="Y144" s="344">
        <f t="shared" si="30"/>
        <v>127402.92166666668</v>
      </c>
      <c r="Z144" s="840"/>
      <c r="AA144" s="529"/>
      <c r="AB144" s="364">
        <v>127402.92</v>
      </c>
      <c r="AC144" s="407"/>
      <c r="AD144" s="483"/>
      <c r="AE144" s="422"/>
      <c r="AF144" s="462"/>
      <c r="AG144" s="483"/>
      <c r="AH144" s="502"/>
      <c r="AI144" s="364"/>
      <c r="AJ144" s="751"/>
      <c r="AK144" s="529"/>
      <c r="AL144" s="756"/>
      <c r="AM144" s="340">
        <f t="shared" si="22"/>
        <v>127402.92</v>
      </c>
      <c r="AN144" s="340">
        <f t="shared" si="23"/>
        <v>127402.92</v>
      </c>
      <c r="AO144" s="406">
        <f t="shared" si="42"/>
        <v>254805.84500000003</v>
      </c>
      <c r="AP144" s="344">
        <f t="shared" si="24"/>
        <v>8.333333224317867</v>
      </c>
      <c r="AQ144" s="521" t="s">
        <v>1887</v>
      </c>
      <c r="AR144" s="801" t="s">
        <v>1887</v>
      </c>
      <c r="AS144" s="164" t="s">
        <v>3565</v>
      </c>
      <c r="AT144" s="128" t="s">
        <v>2539</v>
      </c>
      <c r="AU144" s="113" t="s">
        <v>1639</v>
      </c>
      <c r="AV144" s="440"/>
    </row>
    <row r="145" spans="1:49" ht="409.5" x14ac:dyDescent="0.25">
      <c r="A145" s="8">
        <v>125</v>
      </c>
      <c r="B145" s="266">
        <v>61</v>
      </c>
      <c r="C145" s="119" t="s">
        <v>2935</v>
      </c>
      <c r="D145" s="183" t="s">
        <v>2936</v>
      </c>
      <c r="E145" s="109">
        <v>35119939</v>
      </c>
      <c r="F145" s="110">
        <v>6510700000</v>
      </c>
      <c r="G145" s="110" t="s">
        <v>2937</v>
      </c>
      <c r="H145" s="110" t="s">
        <v>2966</v>
      </c>
      <c r="I145" s="111" t="s">
        <v>2938</v>
      </c>
      <c r="J145" s="109" t="s">
        <v>2939</v>
      </c>
      <c r="K145" s="113" t="s">
        <v>2940</v>
      </c>
      <c r="L145" s="109" t="s">
        <v>2941</v>
      </c>
      <c r="M145" s="112">
        <v>43733</v>
      </c>
      <c r="N145" s="109"/>
      <c r="O145" s="109" t="s">
        <v>8</v>
      </c>
      <c r="P145" s="114">
        <v>0.94699999999999995</v>
      </c>
      <c r="Q145" s="107">
        <f>R145/9470</f>
        <v>231.63000000000002</v>
      </c>
      <c r="R145" s="107">
        <v>2193536.1</v>
      </c>
      <c r="S145" s="107" t="s">
        <v>2942</v>
      </c>
      <c r="T145" s="369"/>
      <c r="U145" s="344">
        <v>23032.13</v>
      </c>
      <c r="V145" s="344">
        <f t="shared" si="41"/>
        <v>23032.13</v>
      </c>
      <c r="W145" s="344">
        <v>1.05</v>
      </c>
      <c r="X145" s="344">
        <f t="shared" si="40"/>
        <v>2.43211510031679</v>
      </c>
      <c r="Y145" s="344">
        <f t="shared" si="30"/>
        <v>1919.3441666666668</v>
      </c>
      <c r="Z145" s="843">
        <v>1920</v>
      </c>
      <c r="AA145" s="529">
        <v>1920</v>
      </c>
      <c r="AB145" s="364"/>
      <c r="AC145" s="383">
        <v>1920</v>
      </c>
      <c r="AD145" s="483"/>
      <c r="AE145" s="364"/>
      <c r="AF145" s="529"/>
      <c r="AG145" s="483"/>
      <c r="AH145" s="502"/>
      <c r="AI145" s="364"/>
      <c r="AJ145" s="751"/>
      <c r="AK145" s="529"/>
      <c r="AL145" s="756"/>
      <c r="AM145" s="340">
        <f t="shared" si="22"/>
        <v>5760</v>
      </c>
      <c r="AN145" s="340">
        <f t="shared" si="23"/>
        <v>3840</v>
      </c>
      <c r="AO145" s="468">
        <f t="shared" si="42"/>
        <v>-1.9674999999997453</v>
      </c>
      <c r="AP145" s="344">
        <f t="shared" si="24"/>
        <v>25.008542414444516</v>
      </c>
      <c r="AQ145" s="521">
        <v>6204.3</v>
      </c>
      <c r="AR145" s="801">
        <v>101.01613672664277</v>
      </c>
      <c r="AS145" s="164">
        <v>44648</v>
      </c>
      <c r="AT145" s="128" t="s">
        <v>2943</v>
      </c>
      <c r="AU145" s="113" t="s">
        <v>1642</v>
      </c>
      <c r="AV145" s="440"/>
      <c r="AW145" s="242"/>
    </row>
    <row r="146" spans="1:49" ht="243.75" x14ac:dyDescent="0.25">
      <c r="A146" s="8">
        <v>126</v>
      </c>
      <c r="B146" s="266">
        <v>62</v>
      </c>
      <c r="C146" s="119" t="s">
        <v>3149</v>
      </c>
      <c r="D146" s="183" t="s">
        <v>3151</v>
      </c>
      <c r="E146" s="109">
        <v>39968214</v>
      </c>
      <c r="F146" s="110">
        <v>6510700000</v>
      </c>
      <c r="G146" s="110" t="s">
        <v>3152</v>
      </c>
      <c r="H146" s="110" t="s">
        <v>3150</v>
      </c>
      <c r="I146" s="111" t="s">
        <v>3153</v>
      </c>
      <c r="J146" s="109" t="s">
        <v>3155</v>
      </c>
      <c r="K146" s="113" t="s">
        <v>3156</v>
      </c>
      <c r="L146" s="109" t="s">
        <v>3154</v>
      </c>
      <c r="M146" s="112" t="s">
        <v>3157</v>
      </c>
      <c r="N146" s="109"/>
      <c r="O146" s="109" t="s">
        <v>8</v>
      </c>
      <c r="P146" s="114">
        <v>1.7899999999999999E-2</v>
      </c>
      <c r="Q146" s="107">
        <f>R146/179</f>
        <v>148.16</v>
      </c>
      <c r="R146" s="107">
        <v>26520.639999999999</v>
      </c>
      <c r="S146" s="107" t="s">
        <v>3158</v>
      </c>
      <c r="T146" s="369"/>
      <c r="U146" s="344">
        <v>795.62</v>
      </c>
      <c r="V146" s="344">
        <f t="shared" si="41"/>
        <v>795.62</v>
      </c>
      <c r="W146" s="344">
        <v>3</v>
      </c>
      <c r="X146" s="344">
        <f t="shared" si="40"/>
        <v>4.444804469273743</v>
      </c>
      <c r="Y146" s="344">
        <f t="shared" si="30"/>
        <v>66.301666666666662</v>
      </c>
      <c r="Z146" s="840"/>
      <c r="AA146" s="529">
        <v>66.3</v>
      </c>
      <c r="AB146" s="364">
        <v>66.3</v>
      </c>
      <c r="AC146" s="407">
        <v>66.3</v>
      </c>
      <c r="AD146" s="483"/>
      <c r="AE146" s="364"/>
      <c r="AF146" s="529"/>
      <c r="AG146" s="483"/>
      <c r="AH146" s="502"/>
      <c r="AI146" s="364"/>
      <c r="AJ146" s="419"/>
      <c r="AK146" s="529"/>
      <c r="AL146" s="756"/>
      <c r="AM146" s="340">
        <f t="shared" si="22"/>
        <v>198.89999999999998</v>
      </c>
      <c r="AN146" s="340">
        <f t="shared" si="23"/>
        <v>198.89999999999998</v>
      </c>
      <c r="AO146" s="468">
        <f t="shared" si="42"/>
        <v>4.9999999999954525E-3</v>
      </c>
      <c r="AP146" s="344">
        <f t="shared" si="24"/>
        <v>24.999371559287091</v>
      </c>
      <c r="AQ146" s="521">
        <v>139.01999999999998</v>
      </c>
      <c r="AR146" s="801">
        <v>99.999999999999986</v>
      </c>
      <c r="AS146" s="164">
        <v>45575</v>
      </c>
      <c r="AT146" s="128" t="s">
        <v>3160</v>
      </c>
      <c r="AU146" s="113" t="s">
        <v>3159</v>
      </c>
      <c r="AV146" s="440"/>
      <c r="AW146" s="242"/>
    </row>
    <row r="147" spans="1:49" ht="150" x14ac:dyDescent="0.25">
      <c r="A147" s="115">
        <v>127</v>
      </c>
      <c r="B147" s="115">
        <v>63</v>
      </c>
      <c r="C147" s="119" t="s">
        <v>2791</v>
      </c>
      <c r="D147" s="120" t="s">
        <v>3280</v>
      </c>
      <c r="E147" s="115">
        <v>2254702368</v>
      </c>
      <c r="F147" s="110">
        <v>6510700000</v>
      </c>
      <c r="G147" s="110" t="s">
        <v>452</v>
      </c>
      <c r="H147" s="110" t="s">
        <v>453</v>
      </c>
      <c r="I147" s="111" t="s">
        <v>3449</v>
      </c>
      <c r="J147" s="113" t="s">
        <v>454</v>
      </c>
      <c r="K147" s="113" t="s">
        <v>3449</v>
      </c>
      <c r="L147" s="113" t="s">
        <v>3281</v>
      </c>
      <c r="M147" s="112" t="s">
        <v>455</v>
      </c>
      <c r="N147" s="113" t="s">
        <v>3477</v>
      </c>
      <c r="O147" s="109" t="s">
        <v>8</v>
      </c>
      <c r="P147" s="114">
        <v>3.2000000000000002E-3</v>
      </c>
      <c r="Q147" s="107">
        <f>R147/32</f>
        <v>931.19</v>
      </c>
      <c r="R147" s="107">
        <v>29798.080000000002</v>
      </c>
      <c r="S147" s="107" t="s">
        <v>3282</v>
      </c>
      <c r="T147" s="369"/>
      <c r="U147" s="344">
        <f>R147*W147%</f>
        <v>2979.8080000000004</v>
      </c>
      <c r="V147" s="344">
        <f t="shared" si="41"/>
        <v>2979.8080000000004</v>
      </c>
      <c r="W147" s="344">
        <v>10</v>
      </c>
      <c r="X147" s="344">
        <f>V147/(P147*10000)</f>
        <v>93.119000000000014</v>
      </c>
      <c r="Y147" s="344">
        <f t="shared" si="30"/>
        <v>248.31733333333338</v>
      </c>
      <c r="Z147" s="844"/>
      <c r="AA147" s="529"/>
      <c r="AB147" s="364"/>
      <c r="AC147" s="769"/>
      <c r="AD147" s="483">
        <v>1490</v>
      </c>
      <c r="AE147" s="364"/>
      <c r="AF147" s="529"/>
      <c r="AG147" s="364"/>
      <c r="AH147" s="364"/>
      <c r="AI147" s="364"/>
      <c r="AJ147" s="762"/>
      <c r="AK147" s="529"/>
      <c r="AL147" s="756"/>
      <c r="AM147" s="364">
        <f t="shared" si="22"/>
        <v>1490</v>
      </c>
      <c r="AN147" s="364">
        <f t="shared" si="23"/>
        <v>1490</v>
      </c>
      <c r="AO147" s="562"/>
      <c r="AP147" s="344">
        <f t="shared" si="24"/>
        <v>50.003221684081652</v>
      </c>
      <c r="AQ147" s="107">
        <v>5449.59</v>
      </c>
      <c r="AR147" s="230">
        <v>182.883930776748</v>
      </c>
      <c r="AS147" s="164">
        <v>44886</v>
      </c>
      <c r="AT147" s="112" t="s">
        <v>1727</v>
      </c>
      <c r="AU147" s="113" t="s">
        <v>1634</v>
      </c>
      <c r="AV147" s="440"/>
    </row>
    <row r="148" spans="1:49" ht="206.25" x14ac:dyDescent="0.25">
      <c r="A148" s="8">
        <v>128</v>
      </c>
      <c r="B148" s="9">
        <v>64</v>
      </c>
      <c r="C148" s="277" t="s">
        <v>3071</v>
      </c>
      <c r="D148" s="278" t="s">
        <v>3072</v>
      </c>
      <c r="E148" s="266">
        <v>3121316395</v>
      </c>
      <c r="F148" s="270">
        <v>6510700000</v>
      </c>
      <c r="G148" s="270" t="s">
        <v>3073</v>
      </c>
      <c r="H148" s="270" t="s">
        <v>3074</v>
      </c>
      <c r="I148" s="271" t="s">
        <v>3043</v>
      </c>
      <c r="J148" s="271" t="s">
        <v>3075</v>
      </c>
      <c r="K148" s="271" t="s">
        <v>3076</v>
      </c>
      <c r="L148" s="271" t="s">
        <v>3077</v>
      </c>
      <c r="M148" s="300">
        <v>43760</v>
      </c>
      <c r="N148" s="271"/>
      <c r="O148" s="265" t="s">
        <v>8</v>
      </c>
      <c r="P148" s="268">
        <v>3.0000000000000001E-3</v>
      </c>
      <c r="Q148" s="269">
        <f>R148/30</f>
        <v>684.84</v>
      </c>
      <c r="R148" s="269">
        <v>20545.2</v>
      </c>
      <c r="S148" s="269" t="s">
        <v>3078</v>
      </c>
      <c r="T148" s="374">
        <v>3009.63</v>
      </c>
      <c r="U148" s="581">
        <v>3009.63</v>
      </c>
      <c r="V148" s="581">
        <f t="shared" si="41"/>
        <v>3009.63</v>
      </c>
      <c r="W148" s="349">
        <f>U148*100/R148</f>
        <v>14.648823082763856</v>
      </c>
      <c r="X148" s="349">
        <f>U148/(P148*10000)</f>
        <v>100.321</v>
      </c>
      <c r="Y148" s="349">
        <f t="shared" si="30"/>
        <v>250.80250000000001</v>
      </c>
      <c r="Z148" s="840"/>
      <c r="AA148" s="475"/>
      <c r="AB148" s="410"/>
      <c r="AC148" s="408"/>
      <c r="AD148" s="486"/>
      <c r="AE148" s="410"/>
      <c r="AF148" s="475"/>
      <c r="AG148" s="410"/>
      <c r="AH148" s="410"/>
      <c r="AI148" s="410"/>
      <c r="AJ148" s="560"/>
      <c r="AK148" s="475"/>
      <c r="AL148" s="561"/>
      <c r="AM148" s="340">
        <f t="shared" si="22"/>
        <v>0</v>
      </c>
      <c r="AN148" s="340">
        <f t="shared" si="23"/>
        <v>0</v>
      </c>
      <c r="AO148" s="468"/>
      <c r="AP148" s="349">
        <f t="shared" si="24"/>
        <v>0</v>
      </c>
      <c r="AQ148" s="690">
        <v>0</v>
      </c>
      <c r="AR148" s="695">
        <v>0</v>
      </c>
      <c r="AS148" s="310">
        <v>45566</v>
      </c>
      <c r="AT148" s="283" t="s">
        <v>2352</v>
      </c>
      <c r="AU148" s="267" t="s">
        <v>3079</v>
      </c>
      <c r="AV148" s="440"/>
      <c r="AW148" s="242"/>
    </row>
    <row r="149" spans="1:49" ht="393.75" x14ac:dyDescent="0.25">
      <c r="A149" s="8">
        <v>129</v>
      </c>
      <c r="B149" s="266">
        <v>65</v>
      </c>
      <c r="C149" s="98" t="s">
        <v>2240</v>
      </c>
      <c r="D149" s="17" t="s">
        <v>2241</v>
      </c>
      <c r="E149" s="10">
        <v>1902924323</v>
      </c>
      <c r="F149" s="19">
        <v>6510700000</v>
      </c>
      <c r="G149" s="19" t="s">
        <v>3365</v>
      </c>
      <c r="H149" s="19" t="s">
        <v>456</v>
      </c>
      <c r="I149" s="75" t="s">
        <v>2242</v>
      </c>
      <c r="J149" s="33" t="s">
        <v>2243</v>
      </c>
      <c r="K149" s="75" t="s">
        <v>2244</v>
      </c>
      <c r="L149" s="33" t="s">
        <v>2245</v>
      </c>
      <c r="M149" s="60" t="s">
        <v>457</v>
      </c>
      <c r="N149" s="33" t="s">
        <v>2246</v>
      </c>
      <c r="O149" s="10" t="s">
        <v>8</v>
      </c>
      <c r="P149" s="27">
        <v>2.12E-2</v>
      </c>
      <c r="Q149" s="579">
        <f>R149/212</f>
        <v>1889.22</v>
      </c>
      <c r="R149" s="579">
        <v>400514.64</v>
      </c>
      <c r="S149" s="568" t="s">
        <v>3390</v>
      </c>
      <c r="T149" s="368"/>
      <c r="U149" s="336">
        <f t="shared" ref="U149:U162" si="43">R149*W149%</f>
        <v>44056.610400000005</v>
      </c>
      <c r="V149" s="333">
        <f t="shared" si="41"/>
        <v>44056.610400000005</v>
      </c>
      <c r="W149" s="332">
        <v>11</v>
      </c>
      <c r="X149" s="333">
        <f>V149/(P149*10000)</f>
        <v>207.81420000000003</v>
      </c>
      <c r="Y149" s="333">
        <f t="shared" si="30"/>
        <v>3671.3842000000004</v>
      </c>
      <c r="Z149" s="807"/>
      <c r="AA149" s="711">
        <v>1005</v>
      </c>
      <c r="AB149" s="340">
        <v>1005</v>
      </c>
      <c r="AC149" s="406"/>
      <c r="AD149" s="459">
        <v>1005</v>
      </c>
      <c r="AE149" s="421"/>
      <c r="AF149" s="463"/>
      <c r="AG149" s="459"/>
      <c r="AH149" s="503"/>
      <c r="AI149" s="340"/>
      <c r="AJ149" s="740"/>
      <c r="AK149" s="741"/>
      <c r="AL149" s="732"/>
      <c r="AM149" s="340">
        <f t="shared" ref="AM149:AM207" si="44">SUM(Z149:AK149)</f>
        <v>3015</v>
      </c>
      <c r="AN149" s="340">
        <f t="shared" ref="AN149:AN207" si="45">SUM(AA149:AL149)</f>
        <v>3015</v>
      </c>
      <c r="AO149" s="468"/>
      <c r="AP149" s="333">
        <f t="shared" si="24"/>
        <v>6.8434679214449954</v>
      </c>
      <c r="AQ149" s="192">
        <v>12125</v>
      </c>
      <c r="AR149" s="416">
        <v>34.380969635101913</v>
      </c>
      <c r="AS149" s="140">
        <v>45551</v>
      </c>
      <c r="AT149" s="20" t="s">
        <v>1728</v>
      </c>
      <c r="AU149" s="13"/>
      <c r="AV149" s="411"/>
    </row>
    <row r="150" spans="1:49" ht="150" x14ac:dyDescent="0.25">
      <c r="A150" s="8">
        <v>130</v>
      </c>
      <c r="B150" s="9">
        <v>66</v>
      </c>
      <c r="C150" s="101" t="s">
        <v>2786</v>
      </c>
      <c r="D150" s="12"/>
      <c r="E150" s="10">
        <v>2951900481</v>
      </c>
      <c r="F150" s="19">
        <v>6510700000</v>
      </c>
      <c r="G150" s="19" t="s">
        <v>458</v>
      </c>
      <c r="H150" s="19" t="s">
        <v>459</v>
      </c>
      <c r="I150" s="75"/>
      <c r="J150" s="14" t="s">
        <v>2815</v>
      </c>
      <c r="K150" s="13"/>
      <c r="L150" s="10" t="s">
        <v>2814</v>
      </c>
      <c r="M150" s="20" t="s">
        <v>460</v>
      </c>
      <c r="N150" s="10"/>
      <c r="O150" s="10" t="s">
        <v>8</v>
      </c>
      <c r="P150" s="21">
        <v>5.9999999999999995E-4</v>
      </c>
      <c r="Q150" s="661">
        <f>R150/6</f>
        <v>1907.01</v>
      </c>
      <c r="R150" s="579">
        <v>11442.06</v>
      </c>
      <c r="S150" s="579" t="s">
        <v>3391</v>
      </c>
      <c r="T150" s="368"/>
      <c r="U150" s="336">
        <f t="shared" si="43"/>
        <v>1258.6266000000001</v>
      </c>
      <c r="V150" s="333">
        <f t="shared" si="41"/>
        <v>1258.6266000000001</v>
      </c>
      <c r="W150" s="332">
        <v>11</v>
      </c>
      <c r="X150" s="333">
        <f>V150/(P150*10000)</f>
        <v>209.77110000000005</v>
      </c>
      <c r="Y150" s="333">
        <f t="shared" si="30"/>
        <v>104.88555000000001</v>
      </c>
      <c r="Z150" s="807"/>
      <c r="AA150" s="711"/>
      <c r="AB150" s="340"/>
      <c r="AC150" s="406"/>
      <c r="AD150" s="459"/>
      <c r="AE150" s="421"/>
      <c r="AF150" s="463"/>
      <c r="AG150" s="459"/>
      <c r="AH150" s="503"/>
      <c r="AI150" s="340"/>
      <c r="AJ150" s="740"/>
      <c r="AK150" s="741"/>
      <c r="AL150" s="732"/>
      <c r="AM150" s="340">
        <f t="shared" si="44"/>
        <v>0</v>
      </c>
      <c r="AN150" s="340">
        <f t="shared" si="45"/>
        <v>0</v>
      </c>
      <c r="AO150" s="468"/>
      <c r="AP150" s="333">
        <f t="shared" si="24"/>
        <v>0</v>
      </c>
      <c r="AQ150" s="192">
        <v>1348.47</v>
      </c>
      <c r="AR150" s="416">
        <v>100.00031146507386</v>
      </c>
      <c r="AS150" s="140">
        <v>42622</v>
      </c>
      <c r="AT150" s="60" t="s">
        <v>1729</v>
      </c>
      <c r="AU150" s="13" t="s">
        <v>1634</v>
      </c>
      <c r="AV150" s="440"/>
      <c r="AW150" s="242"/>
    </row>
    <row r="151" spans="1:49" ht="150" x14ac:dyDescent="0.25">
      <c r="A151" s="8">
        <v>131</v>
      </c>
      <c r="B151" s="9">
        <v>67</v>
      </c>
      <c r="C151" s="234" t="s">
        <v>461</v>
      </c>
      <c r="D151" s="201" t="s">
        <v>462</v>
      </c>
      <c r="E151" s="201">
        <v>2514015696</v>
      </c>
      <c r="F151" s="198">
        <v>6510700000</v>
      </c>
      <c r="G151" s="198" t="s">
        <v>464</v>
      </c>
      <c r="H151" s="198" t="s">
        <v>465</v>
      </c>
      <c r="I151" s="199" t="s">
        <v>2405</v>
      </c>
      <c r="J151" s="245" t="s">
        <v>2404</v>
      </c>
      <c r="K151" s="13" t="s">
        <v>2403</v>
      </c>
      <c r="L151" s="20" t="s">
        <v>2406</v>
      </c>
      <c r="M151" s="20" t="s">
        <v>466</v>
      </c>
      <c r="N151" s="20" t="s">
        <v>3162</v>
      </c>
      <c r="O151" s="10" t="s">
        <v>8</v>
      </c>
      <c r="P151" s="27">
        <v>3.5999999999999999E-3</v>
      </c>
      <c r="Q151" s="12">
        <f>R151/36</f>
        <v>1030.8599999999999</v>
      </c>
      <c r="R151" s="12">
        <v>37110.959999999999</v>
      </c>
      <c r="S151" s="107" t="s">
        <v>3161</v>
      </c>
      <c r="T151" s="367"/>
      <c r="U151" s="343">
        <f t="shared" si="43"/>
        <v>4453.3152</v>
      </c>
      <c r="V151" s="343">
        <f t="shared" si="41"/>
        <v>4453.3152</v>
      </c>
      <c r="W151" s="343">
        <v>12</v>
      </c>
      <c r="X151" s="333">
        <f>V151/(P151*10000)</f>
        <v>123.7032</v>
      </c>
      <c r="Y151" s="333">
        <f t="shared" si="30"/>
        <v>371.1096</v>
      </c>
      <c r="Z151" s="807">
        <v>468.15</v>
      </c>
      <c r="AA151" s="853"/>
      <c r="AB151" s="340">
        <v>468.15</v>
      </c>
      <c r="AC151" s="406"/>
      <c r="AD151" s="459">
        <v>468.15</v>
      </c>
      <c r="AE151" s="421"/>
      <c r="AF151" s="463"/>
      <c r="AG151" s="459"/>
      <c r="AH151" s="503"/>
      <c r="AI151" s="340"/>
      <c r="AJ151" s="740"/>
      <c r="AK151" s="741"/>
      <c r="AL151" s="732"/>
      <c r="AM151" s="340">
        <f t="shared" si="44"/>
        <v>1404.4499999999998</v>
      </c>
      <c r="AN151" s="340">
        <f t="shared" si="45"/>
        <v>936.3</v>
      </c>
      <c r="AO151" s="468"/>
      <c r="AP151" s="333">
        <f t="shared" ref="AP151:AP214" si="46">AM151*100/V151</f>
        <v>31.537179313065458</v>
      </c>
      <c r="AQ151" s="192">
        <v>3149.37</v>
      </c>
      <c r="AR151" s="416">
        <v>70.719674187894896</v>
      </c>
      <c r="AS151" s="140">
        <v>41123</v>
      </c>
      <c r="AT151" s="136" t="s">
        <v>1731</v>
      </c>
      <c r="AU151" s="13" t="s">
        <v>1850</v>
      </c>
    </row>
    <row r="152" spans="1:49" ht="150" x14ac:dyDescent="0.25">
      <c r="A152" s="8">
        <v>132</v>
      </c>
      <c r="B152" s="9">
        <v>68</v>
      </c>
      <c r="C152" s="119" t="s">
        <v>468</v>
      </c>
      <c r="D152" s="120" t="s">
        <v>469</v>
      </c>
      <c r="E152" s="109">
        <v>3024607900</v>
      </c>
      <c r="F152" s="110">
        <v>6510700000</v>
      </c>
      <c r="G152" s="110" t="s">
        <v>470</v>
      </c>
      <c r="H152" s="110" t="s">
        <v>471</v>
      </c>
      <c r="I152" s="111" t="s">
        <v>472</v>
      </c>
      <c r="J152" s="129" t="s">
        <v>473</v>
      </c>
      <c r="K152" s="127" t="s">
        <v>1475</v>
      </c>
      <c r="L152" s="129" t="s">
        <v>474</v>
      </c>
      <c r="M152" s="129" t="s">
        <v>1476</v>
      </c>
      <c r="N152" s="129" t="s">
        <v>475</v>
      </c>
      <c r="O152" s="109" t="s">
        <v>8</v>
      </c>
      <c r="P152" s="122">
        <v>0.13719999999999999</v>
      </c>
      <c r="Q152" s="123">
        <v>810.71</v>
      </c>
      <c r="R152" s="107">
        <v>1112294.1200000001</v>
      </c>
      <c r="S152" s="107" t="s">
        <v>476</v>
      </c>
      <c r="T152" s="369"/>
      <c r="U152" s="353">
        <f t="shared" si="43"/>
        <v>11679.088260000002</v>
      </c>
      <c r="V152" s="353">
        <f t="shared" si="41"/>
        <v>11679.088260000002</v>
      </c>
      <c r="W152" s="353">
        <v>1.05</v>
      </c>
      <c r="X152" s="345">
        <f>V152/(P152*10000)</f>
        <v>8.512455000000001</v>
      </c>
      <c r="Y152" s="333">
        <f t="shared" si="30"/>
        <v>973.25735500000019</v>
      </c>
      <c r="Z152" s="807"/>
      <c r="AA152" s="711"/>
      <c r="AB152" s="340"/>
      <c r="AC152" s="406"/>
      <c r="AD152" s="459"/>
      <c r="AE152" s="421"/>
      <c r="AF152" s="463"/>
      <c r="AG152" s="459"/>
      <c r="AH152" s="503"/>
      <c r="AI152" s="340"/>
      <c r="AJ152" s="740"/>
      <c r="AK152" s="741"/>
      <c r="AL152" s="732"/>
      <c r="AM152" s="340">
        <f t="shared" si="44"/>
        <v>0</v>
      </c>
      <c r="AN152" s="340">
        <f t="shared" si="45"/>
        <v>0</v>
      </c>
      <c r="AO152" s="468"/>
      <c r="AP152" s="333">
        <f t="shared" si="46"/>
        <v>0</v>
      </c>
      <c r="AQ152" s="521">
        <v>11122.94</v>
      </c>
      <c r="AR152" s="803">
        <v>99.999989211486607</v>
      </c>
      <c r="AS152" s="164" t="s">
        <v>2551</v>
      </c>
      <c r="AT152" s="126" t="s">
        <v>1732</v>
      </c>
      <c r="AU152" s="113" t="s">
        <v>1634</v>
      </c>
    </row>
    <row r="153" spans="1:49" ht="168.75" x14ac:dyDescent="0.25">
      <c r="A153" s="8">
        <v>134</v>
      </c>
      <c r="B153" s="568">
        <v>70</v>
      </c>
      <c r="C153" s="588" t="s">
        <v>2787</v>
      </c>
      <c r="D153" s="577" t="s">
        <v>2845</v>
      </c>
      <c r="E153" s="577">
        <v>2254501975</v>
      </c>
      <c r="F153" s="572">
        <v>6510700000</v>
      </c>
      <c r="G153" s="568" t="s">
        <v>486</v>
      </c>
      <c r="H153" s="568" t="s">
        <v>3145</v>
      </c>
      <c r="I153" s="586" t="s">
        <v>3146</v>
      </c>
      <c r="J153" s="608" t="s">
        <v>3147</v>
      </c>
      <c r="K153" s="586" t="s">
        <v>1453</v>
      </c>
      <c r="L153" s="608" t="s">
        <v>2816</v>
      </c>
      <c r="M153" s="608" t="s">
        <v>487</v>
      </c>
      <c r="N153" s="608" t="s">
        <v>3148</v>
      </c>
      <c r="O153" s="577" t="s">
        <v>8</v>
      </c>
      <c r="P153" s="578">
        <v>1.5387999999999999</v>
      </c>
      <c r="Q153" s="579">
        <f>R153/15388</f>
        <v>220.13</v>
      </c>
      <c r="R153" s="579">
        <v>3387360.44</v>
      </c>
      <c r="S153" s="568" t="s">
        <v>2844</v>
      </c>
      <c r="T153" s="580"/>
      <c r="U153" s="581">
        <f t="shared" si="43"/>
        <v>33873.604399999997</v>
      </c>
      <c r="V153" s="581">
        <f t="shared" si="41"/>
        <v>33873.604399999997</v>
      </c>
      <c r="W153" s="581">
        <v>1</v>
      </c>
      <c r="X153" s="581">
        <f>V153/(P153*10000)</f>
        <v>2.2012999999999998</v>
      </c>
      <c r="Y153" s="581">
        <f t="shared" si="30"/>
        <v>2822.8003666666664</v>
      </c>
      <c r="Z153" s="840">
        <v>2822.8</v>
      </c>
      <c r="AA153" s="597">
        <v>2822.8</v>
      </c>
      <c r="AB153" s="592">
        <v>2822.8</v>
      </c>
      <c r="AC153" s="611"/>
      <c r="AD153" s="594"/>
      <c r="AE153" s="592"/>
      <c r="AF153" s="597"/>
      <c r="AG153" s="592"/>
      <c r="AH153" s="592"/>
      <c r="AI153" s="592"/>
      <c r="AJ153" s="771"/>
      <c r="AK153" s="597"/>
      <c r="AL153" s="598"/>
      <c r="AM153" s="340">
        <f t="shared" si="44"/>
        <v>8468.4000000000015</v>
      </c>
      <c r="AN153" s="340">
        <f t="shared" si="45"/>
        <v>5645.6</v>
      </c>
      <c r="AO153" s="468"/>
      <c r="AP153" s="581">
        <f t="shared" si="46"/>
        <v>24.999996752633749</v>
      </c>
      <c r="AQ153" s="687">
        <v>150899.78</v>
      </c>
      <c r="AR153" s="687">
        <v>106.59517833067326</v>
      </c>
      <c r="AS153" s="584">
        <v>45575</v>
      </c>
      <c r="AT153" s="608" t="s">
        <v>1733</v>
      </c>
      <c r="AU153" s="586" t="s">
        <v>1797</v>
      </c>
    </row>
    <row r="154" spans="1:49" ht="150" x14ac:dyDescent="0.25">
      <c r="A154" s="8">
        <v>135</v>
      </c>
      <c r="B154" s="115">
        <v>71</v>
      </c>
      <c r="C154" s="108" t="s">
        <v>2366</v>
      </c>
      <c r="D154" s="109" t="s">
        <v>1933</v>
      </c>
      <c r="E154" s="109">
        <v>2151212173</v>
      </c>
      <c r="F154" s="115">
        <v>6510700000</v>
      </c>
      <c r="G154" s="115" t="s">
        <v>488</v>
      </c>
      <c r="H154" s="115" t="s">
        <v>2449</v>
      </c>
      <c r="I154" s="113"/>
      <c r="J154" s="113" t="s">
        <v>2364</v>
      </c>
      <c r="K154" s="113" t="s">
        <v>3337</v>
      </c>
      <c r="L154" s="113" t="s">
        <v>2365</v>
      </c>
      <c r="M154" s="112" t="s">
        <v>489</v>
      </c>
      <c r="N154" s="113" t="s">
        <v>2450</v>
      </c>
      <c r="O154" s="109" t="s">
        <v>8</v>
      </c>
      <c r="P154" s="114">
        <v>5.7000000000000002E-3</v>
      </c>
      <c r="Q154" s="107">
        <f>R154/57</f>
        <v>1318.7399999999998</v>
      </c>
      <c r="R154" s="107">
        <v>75168.179999999993</v>
      </c>
      <c r="S154" s="107" t="s">
        <v>2363</v>
      </c>
      <c r="T154" s="369"/>
      <c r="U154" s="344">
        <f t="shared" si="43"/>
        <v>7892.6588999999985</v>
      </c>
      <c r="V154" s="344">
        <f t="shared" si="41"/>
        <v>7892.6588999999985</v>
      </c>
      <c r="W154" s="344">
        <v>10.5</v>
      </c>
      <c r="X154" s="344">
        <f>U154/(P154*10000)</f>
        <v>138.46769999999998</v>
      </c>
      <c r="Y154" s="344">
        <f t="shared" si="30"/>
        <v>657.72157499999992</v>
      </c>
      <c r="Z154" s="840"/>
      <c r="AA154" s="529">
        <v>658</v>
      </c>
      <c r="AB154" s="364">
        <v>658</v>
      </c>
      <c r="AC154" s="407"/>
      <c r="AD154" s="483"/>
      <c r="AE154" s="422"/>
      <c r="AF154" s="462"/>
      <c r="AG154" s="483"/>
      <c r="AH154" s="502"/>
      <c r="AI154" s="364"/>
      <c r="AJ154" s="365"/>
      <c r="AK154" s="529"/>
      <c r="AL154" s="756"/>
      <c r="AM154" s="340">
        <f t="shared" si="44"/>
        <v>1316</v>
      </c>
      <c r="AN154" s="340">
        <f t="shared" si="45"/>
        <v>1316</v>
      </c>
      <c r="AO154" s="468"/>
      <c r="AP154" s="344">
        <f t="shared" si="46"/>
        <v>16.673721956994751</v>
      </c>
      <c r="AQ154" s="521">
        <v>7838</v>
      </c>
      <c r="AR154" s="521">
        <v>99.307471655717961</v>
      </c>
      <c r="AS154" s="164">
        <v>44332</v>
      </c>
      <c r="AT154" s="109" t="s">
        <v>1734</v>
      </c>
      <c r="AU154" s="113" t="s">
        <v>1634</v>
      </c>
    </row>
    <row r="155" spans="1:49" ht="150" x14ac:dyDescent="0.25">
      <c r="A155" s="8">
        <v>136</v>
      </c>
      <c r="B155" s="9">
        <v>72</v>
      </c>
      <c r="C155" s="108" t="s">
        <v>490</v>
      </c>
      <c r="D155" s="109" t="s">
        <v>491</v>
      </c>
      <c r="E155" s="115">
        <v>2528509443</v>
      </c>
      <c r="F155" s="115">
        <v>6510700000</v>
      </c>
      <c r="G155" s="115" t="s">
        <v>492</v>
      </c>
      <c r="H155" s="115" t="s">
        <v>1852</v>
      </c>
      <c r="I155" s="113" t="s">
        <v>494</v>
      </c>
      <c r="J155" s="109" t="s">
        <v>495</v>
      </c>
      <c r="K155" s="113" t="s">
        <v>1477</v>
      </c>
      <c r="L155" s="109" t="s">
        <v>496</v>
      </c>
      <c r="M155" s="112" t="s">
        <v>497</v>
      </c>
      <c r="N155" s="109" t="s">
        <v>2507</v>
      </c>
      <c r="O155" s="109" t="s">
        <v>8</v>
      </c>
      <c r="P155" s="114">
        <v>2.3999999999999998E-3</v>
      </c>
      <c r="Q155" s="107">
        <f>R155/24</f>
        <v>2043.2083333333333</v>
      </c>
      <c r="R155" s="107">
        <v>49037</v>
      </c>
      <c r="S155" s="107" t="s">
        <v>2391</v>
      </c>
      <c r="T155" s="369"/>
      <c r="U155" s="344">
        <f t="shared" si="43"/>
        <v>5394.07</v>
      </c>
      <c r="V155" s="345">
        <f t="shared" si="41"/>
        <v>5394.07</v>
      </c>
      <c r="W155" s="344">
        <v>11</v>
      </c>
      <c r="X155" s="345">
        <f>U155/(P155*10000)</f>
        <v>224.75291666666669</v>
      </c>
      <c r="Y155" s="345">
        <f t="shared" si="30"/>
        <v>449.50583333333333</v>
      </c>
      <c r="Z155" s="807"/>
      <c r="AA155" s="852"/>
      <c r="AB155" s="359">
        <v>865</v>
      </c>
      <c r="AC155" s="407"/>
      <c r="AD155" s="483"/>
      <c r="AE155" s="422"/>
      <c r="AF155" s="462"/>
      <c r="AG155" s="483"/>
      <c r="AH155" s="502"/>
      <c r="AI155" s="359"/>
      <c r="AJ155" s="762"/>
      <c r="AK155" s="529"/>
      <c r="AL155" s="752"/>
      <c r="AM155" s="340">
        <f t="shared" si="44"/>
        <v>865</v>
      </c>
      <c r="AN155" s="340">
        <f t="shared" si="45"/>
        <v>865</v>
      </c>
      <c r="AO155" s="468"/>
      <c r="AP155" s="345">
        <f t="shared" si="46"/>
        <v>16.036128563403889</v>
      </c>
      <c r="AQ155" s="521">
        <v>5261.53</v>
      </c>
      <c r="AR155" s="523">
        <v>97.542857248793581</v>
      </c>
      <c r="AS155" s="164">
        <v>44697</v>
      </c>
      <c r="AT155" s="125" t="s">
        <v>1735</v>
      </c>
      <c r="AU155" s="113" t="s">
        <v>1634</v>
      </c>
    </row>
    <row r="156" spans="1:49" ht="150" x14ac:dyDescent="0.25">
      <c r="A156" s="8">
        <v>137</v>
      </c>
      <c r="B156" s="115">
        <v>73</v>
      </c>
      <c r="C156" s="108" t="s">
        <v>490</v>
      </c>
      <c r="D156" s="109" t="s">
        <v>491</v>
      </c>
      <c r="E156" s="115">
        <v>2528509443</v>
      </c>
      <c r="F156" s="115">
        <v>6510700000</v>
      </c>
      <c r="G156" s="115" t="s">
        <v>498</v>
      </c>
      <c r="H156" s="115" t="s">
        <v>499</v>
      </c>
      <c r="I156" s="113" t="s">
        <v>494</v>
      </c>
      <c r="J156" s="109" t="s">
        <v>500</v>
      </c>
      <c r="K156" s="113" t="s">
        <v>1477</v>
      </c>
      <c r="L156" s="109" t="s">
        <v>501</v>
      </c>
      <c r="M156" s="112" t="s">
        <v>497</v>
      </c>
      <c r="N156" s="109" t="s">
        <v>2505</v>
      </c>
      <c r="O156" s="109" t="s">
        <v>8</v>
      </c>
      <c r="P156" s="114">
        <v>1.8E-3</v>
      </c>
      <c r="Q156" s="107">
        <v>1615.28</v>
      </c>
      <c r="R156" s="107">
        <v>29075.040000000001</v>
      </c>
      <c r="S156" s="107" t="s">
        <v>2506</v>
      </c>
      <c r="T156" s="369"/>
      <c r="U156" s="344">
        <f t="shared" si="43"/>
        <v>3198.2544000000003</v>
      </c>
      <c r="V156" s="345">
        <f t="shared" si="41"/>
        <v>3198.2544000000003</v>
      </c>
      <c r="W156" s="344">
        <v>11</v>
      </c>
      <c r="X156" s="345">
        <f>U156/(P156*10000)</f>
        <v>177.6808</v>
      </c>
      <c r="Y156" s="345">
        <f t="shared" si="30"/>
        <v>266.52120000000002</v>
      </c>
      <c r="Z156" s="807"/>
      <c r="AA156" s="852"/>
      <c r="AB156" s="359"/>
      <c r="AC156" s="407"/>
      <c r="AD156" s="483"/>
      <c r="AE156" s="422"/>
      <c r="AF156" s="462"/>
      <c r="AG156" s="483"/>
      <c r="AH156" s="502"/>
      <c r="AI156" s="359"/>
      <c r="AJ156" s="751"/>
      <c r="AK156" s="529"/>
      <c r="AL156" s="752"/>
      <c r="AM156" s="340">
        <f t="shared" si="44"/>
        <v>0</v>
      </c>
      <c r="AN156" s="340">
        <f t="shared" si="45"/>
        <v>0</v>
      </c>
      <c r="AO156" s="468"/>
      <c r="AP156" s="345">
        <f t="shared" si="46"/>
        <v>0</v>
      </c>
      <c r="AQ156" s="521">
        <v>2675</v>
      </c>
      <c r="AR156" s="523">
        <v>83.639375279214804</v>
      </c>
      <c r="AS156" s="164">
        <v>44697</v>
      </c>
      <c r="AT156" s="125" t="s">
        <v>1643</v>
      </c>
      <c r="AU156" s="113" t="s">
        <v>1634</v>
      </c>
    </row>
    <row r="157" spans="1:49" ht="150" x14ac:dyDescent="0.25">
      <c r="A157" s="8">
        <v>138</v>
      </c>
      <c r="B157" s="115"/>
      <c r="C157" s="108" t="s">
        <v>490</v>
      </c>
      <c r="D157" s="109" t="s">
        <v>491</v>
      </c>
      <c r="E157" s="115">
        <v>2528509443</v>
      </c>
      <c r="F157" s="115">
        <v>6510700000</v>
      </c>
      <c r="G157" s="115" t="s">
        <v>502</v>
      </c>
      <c r="H157" s="115" t="s">
        <v>1902</v>
      </c>
      <c r="I157" s="113" t="s">
        <v>494</v>
      </c>
      <c r="J157" s="109" t="s">
        <v>2508</v>
      </c>
      <c r="K157" s="113" t="s">
        <v>1477</v>
      </c>
      <c r="L157" s="109" t="s">
        <v>2509</v>
      </c>
      <c r="M157" s="112" t="s">
        <v>497</v>
      </c>
      <c r="N157" s="109" t="s">
        <v>2505</v>
      </c>
      <c r="O157" s="109" t="s">
        <v>8</v>
      </c>
      <c r="P157" s="114">
        <v>2.5000000000000001E-3</v>
      </c>
      <c r="Q157" s="107">
        <v>1163.99</v>
      </c>
      <c r="R157" s="107">
        <v>29099.75</v>
      </c>
      <c r="S157" s="133" t="s">
        <v>2390</v>
      </c>
      <c r="T157" s="369"/>
      <c r="U157" s="344">
        <f t="shared" si="43"/>
        <v>3200.9724999999999</v>
      </c>
      <c r="V157" s="345">
        <f t="shared" si="41"/>
        <v>3200.9724999999999</v>
      </c>
      <c r="W157" s="344">
        <v>11</v>
      </c>
      <c r="X157" s="345">
        <f>U157/(P157*10000)</f>
        <v>128.03889999999998</v>
      </c>
      <c r="Y157" s="345">
        <f t="shared" si="30"/>
        <v>266.74770833333332</v>
      </c>
      <c r="Z157" s="807"/>
      <c r="AA157" s="852"/>
      <c r="AB157" s="359"/>
      <c r="AC157" s="407"/>
      <c r="AD157" s="483"/>
      <c r="AE157" s="422"/>
      <c r="AF157" s="462"/>
      <c r="AG157" s="483"/>
      <c r="AH157" s="502"/>
      <c r="AI157" s="359"/>
      <c r="AJ157" s="751"/>
      <c r="AK157" s="529"/>
      <c r="AL157" s="752"/>
      <c r="AM157" s="340">
        <f t="shared" si="44"/>
        <v>0</v>
      </c>
      <c r="AN157" s="340">
        <f t="shared" si="45"/>
        <v>0</v>
      </c>
      <c r="AO157" s="468"/>
      <c r="AP157" s="345">
        <f t="shared" si="46"/>
        <v>0</v>
      </c>
      <c r="AQ157" s="521">
        <v>3460</v>
      </c>
      <c r="AR157" s="523">
        <v>108.0921501200026</v>
      </c>
      <c r="AS157" s="164">
        <v>44697</v>
      </c>
      <c r="AT157" s="125" t="s">
        <v>1643</v>
      </c>
      <c r="AU157" s="113" t="s">
        <v>1634</v>
      </c>
    </row>
    <row r="158" spans="1:49" ht="150" x14ac:dyDescent="0.25">
      <c r="A158" s="8">
        <v>139</v>
      </c>
      <c r="B158" s="115"/>
      <c r="C158" s="108" t="s">
        <v>503</v>
      </c>
      <c r="D158" s="184" t="s">
        <v>507</v>
      </c>
      <c r="E158" s="266">
        <v>2476811653</v>
      </c>
      <c r="F158" s="266">
        <v>6510700000</v>
      </c>
      <c r="G158" s="266" t="s">
        <v>504</v>
      </c>
      <c r="H158" s="266" t="s">
        <v>505</v>
      </c>
      <c r="I158" s="267" t="s">
        <v>2108</v>
      </c>
      <c r="J158" s="265" t="s">
        <v>2818</v>
      </c>
      <c r="K158" s="267"/>
      <c r="L158" s="265" t="s">
        <v>2817</v>
      </c>
      <c r="M158" s="283" t="s">
        <v>506</v>
      </c>
      <c r="N158" s="265"/>
      <c r="O158" s="265" t="s">
        <v>8</v>
      </c>
      <c r="P158" s="268">
        <v>5.2299999999999999E-2</v>
      </c>
      <c r="Q158" s="269">
        <v>2043.13</v>
      </c>
      <c r="R158" s="269">
        <v>1068556.99</v>
      </c>
      <c r="S158" s="274" t="s">
        <v>2109</v>
      </c>
      <c r="T158" s="374">
        <v>42841.42</v>
      </c>
      <c r="U158" s="349">
        <f t="shared" si="43"/>
        <v>65075.120690999996</v>
      </c>
      <c r="V158" s="350">
        <f t="shared" si="41"/>
        <v>65075.120690999996</v>
      </c>
      <c r="W158" s="350">
        <v>6.09</v>
      </c>
      <c r="X158" s="333">
        <f>V158/(P158*10000)</f>
        <v>124.42661699999999</v>
      </c>
      <c r="Y158" s="333">
        <f t="shared" si="30"/>
        <v>5422.92672425</v>
      </c>
      <c r="Z158" s="807"/>
      <c r="AA158" s="857">
        <v>3784.33</v>
      </c>
      <c r="AB158" s="340"/>
      <c r="AC158" s="406"/>
      <c r="AD158" s="459"/>
      <c r="AE158" s="421"/>
      <c r="AF158" s="463"/>
      <c r="AG158" s="459"/>
      <c r="AH158" s="503"/>
      <c r="AI158" s="340"/>
      <c r="AJ158" s="740"/>
      <c r="AK158" s="741"/>
      <c r="AL158" s="732"/>
      <c r="AM158" s="340">
        <f t="shared" si="44"/>
        <v>3784.33</v>
      </c>
      <c r="AN158" s="340">
        <f t="shared" si="45"/>
        <v>3784.33</v>
      </c>
      <c r="AO158" s="468"/>
      <c r="AP158" s="350">
        <f t="shared" si="46"/>
        <v>5.815325365233444</v>
      </c>
      <c r="AQ158" s="690">
        <v>37568.640000000007</v>
      </c>
      <c r="AR158" s="695">
        <v>57.731187589170027</v>
      </c>
      <c r="AS158" s="310">
        <v>44222</v>
      </c>
      <c r="AT158" s="283" t="s">
        <v>1736</v>
      </c>
      <c r="AU158" s="267" t="s">
        <v>1634</v>
      </c>
    </row>
    <row r="159" spans="1:49" ht="255" x14ac:dyDescent="0.25">
      <c r="A159" s="8">
        <v>140</v>
      </c>
      <c r="B159" s="266">
        <v>74</v>
      </c>
      <c r="C159" s="108" t="s">
        <v>508</v>
      </c>
      <c r="D159" s="109" t="s">
        <v>2247</v>
      </c>
      <c r="E159" s="115">
        <v>2687219951</v>
      </c>
      <c r="F159" s="115">
        <v>6510700000</v>
      </c>
      <c r="G159" s="115" t="s">
        <v>509</v>
      </c>
      <c r="H159" s="115" t="s">
        <v>2381</v>
      </c>
      <c r="I159" s="111" t="s">
        <v>3334</v>
      </c>
      <c r="J159" s="109" t="s">
        <v>510</v>
      </c>
      <c r="K159" s="113" t="s">
        <v>1478</v>
      </c>
      <c r="L159" s="109" t="s">
        <v>511</v>
      </c>
      <c r="M159" s="112" t="s">
        <v>512</v>
      </c>
      <c r="N159" s="331" t="s">
        <v>3335</v>
      </c>
      <c r="O159" s="109" t="s">
        <v>8</v>
      </c>
      <c r="P159" s="114">
        <v>0.22</v>
      </c>
      <c r="Q159" s="131">
        <f>R159/2200</f>
        <v>1318.74</v>
      </c>
      <c r="R159" s="107">
        <v>2901228</v>
      </c>
      <c r="S159" s="109" t="s">
        <v>2248</v>
      </c>
      <c r="T159" s="369"/>
      <c r="U159" s="344">
        <f t="shared" si="43"/>
        <v>30462.894</v>
      </c>
      <c r="V159" s="345">
        <f t="shared" si="41"/>
        <v>30462.894</v>
      </c>
      <c r="W159" s="345">
        <v>1.05</v>
      </c>
      <c r="X159" s="345">
        <f>V159/(P159*10000)</f>
        <v>13.846769999999999</v>
      </c>
      <c r="Y159" s="345">
        <f t="shared" si="30"/>
        <v>2538.5745000000002</v>
      </c>
      <c r="Z159" s="807"/>
      <c r="AA159" s="852">
        <v>3556.7</v>
      </c>
      <c r="AB159" s="359">
        <v>3556.7</v>
      </c>
      <c r="AC159" s="407"/>
      <c r="AD159" s="483"/>
      <c r="AE159" s="422"/>
      <c r="AF159" s="462"/>
      <c r="AG159" s="483"/>
      <c r="AH159" s="502"/>
      <c r="AI159" s="359"/>
      <c r="AJ159" s="762"/>
      <c r="AK159" s="529"/>
      <c r="AL159" s="752"/>
      <c r="AM159" s="340">
        <f t="shared" si="44"/>
        <v>7113.4</v>
      </c>
      <c r="AN159" s="340">
        <f t="shared" si="45"/>
        <v>7113.4</v>
      </c>
      <c r="AO159" s="468"/>
      <c r="AP159" s="345">
        <f t="shared" si="46"/>
        <v>23.351031586165124</v>
      </c>
      <c r="AQ159" s="521">
        <v>22223.62</v>
      </c>
      <c r="AR159" s="523">
        <v>86.922962894008421</v>
      </c>
      <c r="AS159" s="164">
        <v>44886</v>
      </c>
      <c r="AT159" s="128" t="s">
        <v>1737</v>
      </c>
      <c r="AU159" s="113" t="s">
        <v>1634</v>
      </c>
    </row>
    <row r="160" spans="1:49" ht="393.75" x14ac:dyDescent="0.25">
      <c r="A160" s="8">
        <v>141</v>
      </c>
      <c r="B160" s="115"/>
      <c r="C160" s="96" t="s">
        <v>508</v>
      </c>
      <c r="D160" s="10" t="s">
        <v>2247</v>
      </c>
      <c r="E160" s="9">
        <v>2687219951</v>
      </c>
      <c r="F160" s="9">
        <v>6510700000</v>
      </c>
      <c r="G160" s="9" t="s">
        <v>513</v>
      </c>
      <c r="H160" s="9" t="s">
        <v>514</v>
      </c>
      <c r="I160" s="75" t="s">
        <v>515</v>
      </c>
      <c r="J160" s="10" t="s">
        <v>516</v>
      </c>
      <c r="K160" s="13" t="s">
        <v>1479</v>
      </c>
      <c r="L160" s="10" t="s">
        <v>517</v>
      </c>
      <c r="M160" s="20" t="s">
        <v>518</v>
      </c>
      <c r="N160" s="10"/>
      <c r="O160" s="10" t="s">
        <v>8</v>
      </c>
      <c r="P160" s="27">
        <v>0.55600000000000005</v>
      </c>
      <c r="Q160" s="717">
        <f>R160/5560</f>
        <v>219.73999999999998</v>
      </c>
      <c r="R160" s="579">
        <v>1221754.3999999999</v>
      </c>
      <c r="S160" s="577" t="s">
        <v>3359</v>
      </c>
      <c r="T160" s="368"/>
      <c r="U160" s="336">
        <f t="shared" si="43"/>
        <v>12217.544</v>
      </c>
      <c r="V160" s="333">
        <f t="shared" si="41"/>
        <v>12217.544</v>
      </c>
      <c r="W160" s="814">
        <v>1</v>
      </c>
      <c r="X160" s="333">
        <f>V160/(P160*10000)</f>
        <v>2.1973999999999996</v>
      </c>
      <c r="Y160" s="333">
        <f t="shared" si="30"/>
        <v>1018.1286666666666</v>
      </c>
      <c r="Z160" s="807"/>
      <c r="AA160" s="711">
        <v>1478.5</v>
      </c>
      <c r="AB160" s="340">
        <v>1478.5</v>
      </c>
      <c r="AC160" s="406"/>
      <c r="AD160" s="459"/>
      <c r="AE160" s="421"/>
      <c r="AF160" s="463"/>
      <c r="AG160" s="459"/>
      <c r="AH160" s="503"/>
      <c r="AI160" s="340"/>
      <c r="AJ160" s="740"/>
      <c r="AK160" s="741"/>
      <c r="AL160" s="732"/>
      <c r="AM160" s="340">
        <f t="shared" si="44"/>
        <v>2957</v>
      </c>
      <c r="AN160" s="340">
        <f t="shared" si="45"/>
        <v>2957</v>
      </c>
      <c r="AO160" s="468"/>
      <c r="AP160" s="333">
        <f t="shared" si="46"/>
        <v>24.202900353786326</v>
      </c>
      <c r="AQ160" s="192">
        <v>60482.399999999994</v>
      </c>
      <c r="AR160" s="416">
        <v>61.736306930065084</v>
      </c>
      <c r="AS160" s="140">
        <v>43684</v>
      </c>
      <c r="AT160" s="31" t="s">
        <v>1738</v>
      </c>
      <c r="AU160" s="13" t="s">
        <v>1639</v>
      </c>
    </row>
    <row r="161" spans="1:48" ht="131.25" x14ac:dyDescent="0.25">
      <c r="A161" s="8">
        <v>142</v>
      </c>
      <c r="B161" s="9">
        <v>75</v>
      </c>
      <c r="C161" s="219" t="s">
        <v>1863</v>
      </c>
      <c r="D161" s="201" t="s">
        <v>1864</v>
      </c>
      <c r="E161" s="201">
        <v>2005901755</v>
      </c>
      <c r="F161" s="198">
        <v>6510700000</v>
      </c>
      <c r="G161" s="198" t="s">
        <v>519</v>
      </c>
      <c r="H161" s="198" t="s">
        <v>1865</v>
      </c>
      <c r="I161" s="199"/>
      <c r="J161" s="231" t="s">
        <v>1866</v>
      </c>
      <c r="K161" s="232" t="s">
        <v>1867</v>
      </c>
      <c r="L161" s="231" t="s">
        <v>1868</v>
      </c>
      <c r="M161" s="247" t="s">
        <v>520</v>
      </c>
      <c r="N161" s="231" t="s">
        <v>1869</v>
      </c>
      <c r="O161" s="201" t="s">
        <v>8</v>
      </c>
      <c r="P161" s="202">
        <v>2.5000000000000001E-3</v>
      </c>
      <c r="Q161" s="203">
        <v>1641.43</v>
      </c>
      <c r="R161" s="197">
        <v>41035.78</v>
      </c>
      <c r="S161" s="196" t="s">
        <v>1870</v>
      </c>
      <c r="T161" s="373"/>
      <c r="U161" s="343">
        <f t="shared" si="43"/>
        <v>4513.9358000000002</v>
      </c>
      <c r="V161" s="347">
        <f t="shared" si="41"/>
        <v>4513.9358000000002</v>
      </c>
      <c r="W161" s="347">
        <v>11</v>
      </c>
      <c r="X161" s="333">
        <f>V161/(P161*10000)</f>
        <v>180.55743200000001</v>
      </c>
      <c r="Y161" s="333">
        <f t="shared" si="30"/>
        <v>376.16131666666666</v>
      </c>
      <c r="Z161" s="807"/>
      <c r="AA161" s="854"/>
      <c r="AB161" s="348">
        <v>288</v>
      </c>
      <c r="AC161" s="406"/>
      <c r="AD161" s="1117">
        <v>376.18</v>
      </c>
      <c r="AE161" s="421"/>
      <c r="AF161" s="463"/>
      <c r="AG161" s="459"/>
      <c r="AH161" s="503"/>
      <c r="AI161" s="348"/>
      <c r="AJ161" s="740"/>
      <c r="AK161" s="741"/>
      <c r="AL161" s="764"/>
      <c r="AM161" s="340">
        <f t="shared" si="44"/>
        <v>664.18000000000006</v>
      </c>
      <c r="AN161" s="340">
        <f t="shared" si="45"/>
        <v>664.18000000000006</v>
      </c>
      <c r="AO161" s="468"/>
      <c r="AP161" s="333">
        <f t="shared" si="46"/>
        <v>14.71398862163702</v>
      </c>
      <c r="AQ161" s="192">
        <v>4519.46</v>
      </c>
      <c r="AR161" s="416">
        <v>100.12238100506436</v>
      </c>
      <c r="AS161" s="452" t="s">
        <v>1658</v>
      </c>
      <c r="AT161" s="204" t="s">
        <v>1643</v>
      </c>
      <c r="AU161" s="200" t="s">
        <v>1634</v>
      </c>
    </row>
    <row r="162" spans="1:48" ht="131.25" x14ac:dyDescent="0.25">
      <c r="A162" s="8">
        <v>143</v>
      </c>
      <c r="B162" s="196">
        <v>76</v>
      </c>
      <c r="C162" s="98" t="s">
        <v>2792</v>
      </c>
      <c r="D162" s="17" t="s">
        <v>521</v>
      </c>
      <c r="E162" s="10">
        <v>2602509727</v>
      </c>
      <c r="F162" s="19">
        <v>6510700000</v>
      </c>
      <c r="G162" s="19" t="s">
        <v>522</v>
      </c>
      <c r="H162" s="19" t="s">
        <v>523</v>
      </c>
      <c r="I162" s="75"/>
      <c r="J162" s="28" t="s">
        <v>2901</v>
      </c>
      <c r="K162" s="72"/>
      <c r="L162" s="28" t="s">
        <v>2900</v>
      </c>
      <c r="M162" s="61" t="s">
        <v>524</v>
      </c>
      <c r="N162" s="28"/>
      <c r="O162" s="10" t="s">
        <v>8</v>
      </c>
      <c r="P162" s="21">
        <v>2.8199999999999999E-2</v>
      </c>
      <c r="Q162" s="32">
        <f>R162/282</f>
        <v>299.13</v>
      </c>
      <c r="R162" s="12">
        <v>84354.66</v>
      </c>
      <c r="S162" s="568">
        <v>2020</v>
      </c>
      <c r="T162" s="368"/>
      <c r="U162" s="336">
        <f t="shared" si="43"/>
        <v>421.77330000000001</v>
      </c>
      <c r="V162" s="333">
        <f t="shared" si="41"/>
        <v>421.77330000000001</v>
      </c>
      <c r="W162" s="332">
        <v>0.5</v>
      </c>
      <c r="X162" s="333">
        <f>V162/(P162*10000)</f>
        <v>1.4956499999999999</v>
      </c>
      <c r="Y162" s="333">
        <f t="shared" si="30"/>
        <v>35.147775000000003</v>
      </c>
      <c r="Z162" s="807"/>
      <c r="AA162" s="711"/>
      <c r="AB162" s="340"/>
      <c r="AC162" s="406"/>
      <c r="AD162" s="459"/>
      <c r="AE162" s="421"/>
      <c r="AF162" s="463"/>
      <c r="AG162" s="459"/>
      <c r="AH162" s="503"/>
      <c r="AI162" s="340"/>
      <c r="AJ162" s="740"/>
      <c r="AK162" s="741"/>
      <c r="AL162" s="732"/>
      <c r="AM162" s="340">
        <f t="shared" si="44"/>
        <v>0</v>
      </c>
      <c r="AN162" s="340">
        <f t="shared" si="45"/>
        <v>0</v>
      </c>
      <c r="AO162" s="468"/>
      <c r="AP162" s="333">
        <f t="shared" si="46"/>
        <v>0</v>
      </c>
      <c r="AQ162" s="192">
        <v>421.76</v>
      </c>
      <c r="AR162" s="416">
        <v>100.00018968169516</v>
      </c>
      <c r="AS162" s="140" t="s">
        <v>1740</v>
      </c>
      <c r="AT162" s="60" t="s">
        <v>1741</v>
      </c>
      <c r="AU162" s="13" t="s">
        <v>1824</v>
      </c>
    </row>
    <row r="163" spans="1:48" ht="150" x14ac:dyDescent="0.25">
      <c r="A163" s="8">
        <v>144</v>
      </c>
      <c r="B163" s="9">
        <v>77</v>
      </c>
      <c r="C163" s="119" t="s">
        <v>2699</v>
      </c>
      <c r="D163" s="120" t="s">
        <v>2700</v>
      </c>
      <c r="E163" s="109">
        <v>2005118082</v>
      </c>
      <c r="F163" s="110">
        <v>6510700000</v>
      </c>
      <c r="G163" s="110" t="s">
        <v>2701</v>
      </c>
      <c r="H163" s="110" t="s">
        <v>2702</v>
      </c>
      <c r="I163" s="111" t="s">
        <v>2630</v>
      </c>
      <c r="J163" s="121" t="s">
        <v>2703</v>
      </c>
      <c r="K163" s="111" t="s">
        <v>2633</v>
      </c>
      <c r="L163" s="130" t="s">
        <v>2704</v>
      </c>
      <c r="M163" s="129">
        <v>43689</v>
      </c>
      <c r="N163" s="130"/>
      <c r="O163" s="109" t="s">
        <v>8</v>
      </c>
      <c r="P163" s="122">
        <v>0.81079999999999997</v>
      </c>
      <c r="Q163" s="123">
        <f>R163/8108</f>
        <v>219.73999999999998</v>
      </c>
      <c r="R163" s="107">
        <v>1781651.92</v>
      </c>
      <c r="S163" s="115" t="s">
        <v>2705</v>
      </c>
      <c r="T163" s="369">
        <v>18529.16</v>
      </c>
      <c r="U163" s="344">
        <v>18529.16</v>
      </c>
      <c r="V163" s="345">
        <f t="shared" si="41"/>
        <v>18529.16</v>
      </c>
      <c r="W163" s="344">
        <f>U163*100/R163</f>
        <v>1.0399988792423607</v>
      </c>
      <c r="X163" s="345">
        <f>U163/(P163*10000)</f>
        <v>2.2852935372471634</v>
      </c>
      <c r="Y163" s="345">
        <f t="shared" si="30"/>
        <v>1544.0966666666666</v>
      </c>
      <c r="Z163" s="807"/>
      <c r="AA163" s="852"/>
      <c r="AB163" s="359"/>
      <c r="AC163" s="407"/>
      <c r="AD163" s="483"/>
      <c r="AE163" s="422"/>
      <c r="AF163" s="462"/>
      <c r="AG163" s="483"/>
      <c r="AH163" s="502"/>
      <c r="AI163" s="359"/>
      <c r="AJ163" s="751"/>
      <c r="AK163" s="529"/>
      <c r="AL163" s="752"/>
      <c r="AM163" s="340">
        <f t="shared" si="44"/>
        <v>0</v>
      </c>
      <c r="AN163" s="340">
        <f t="shared" si="45"/>
        <v>0</v>
      </c>
      <c r="AO163" s="468"/>
      <c r="AP163" s="345">
        <f t="shared" si="46"/>
        <v>0</v>
      </c>
      <c r="AQ163" s="521">
        <v>7172.59</v>
      </c>
      <c r="AR163" s="523">
        <v>100</v>
      </c>
      <c r="AS163" s="164">
        <v>45483</v>
      </c>
      <c r="AT163" s="126" t="s">
        <v>1683</v>
      </c>
      <c r="AU163" s="113" t="s">
        <v>1632</v>
      </c>
      <c r="AV163" s="401" t="s">
        <v>2249</v>
      </c>
    </row>
    <row r="164" spans="1:48" ht="225" x14ac:dyDescent="0.25">
      <c r="A164" s="8">
        <v>145</v>
      </c>
      <c r="B164" s="414">
        <v>78</v>
      </c>
      <c r="C164" s="108" t="s">
        <v>2790</v>
      </c>
      <c r="D164" s="109" t="s">
        <v>525</v>
      </c>
      <c r="E164" s="109" t="s">
        <v>526</v>
      </c>
      <c r="F164" s="110">
        <v>6510700000</v>
      </c>
      <c r="G164" s="109" t="s">
        <v>527</v>
      </c>
      <c r="H164" s="109" t="s">
        <v>528</v>
      </c>
      <c r="I164" s="111" t="s">
        <v>529</v>
      </c>
      <c r="J164" s="110" t="s">
        <v>530</v>
      </c>
      <c r="K164" s="111" t="s">
        <v>1480</v>
      </c>
      <c r="L164" s="109" t="s">
        <v>531</v>
      </c>
      <c r="M164" s="112" t="s">
        <v>532</v>
      </c>
      <c r="N164" s="109"/>
      <c r="O164" s="109" t="s">
        <v>8</v>
      </c>
      <c r="P164" s="114">
        <v>7.8799999999999995E-2</v>
      </c>
      <c r="Q164" s="107">
        <v>474.16</v>
      </c>
      <c r="R164" s="107">
        <v>373638.08</v>
      </c>
      <c r="S164" s="115" t="s">
        <v>533</v>
      </c>
      <c r="T164" s="369"/>
      <c r="U164" s="336">
        <f>R164*W164%</f>
        <v>16813.713599999999</v>
      </c>
      <c r="V164" s="333">
        <f t="shared" si="41"/>
        <v>16813.713599999999</v>
      </c>
      <c r="W164" s="333">
        <v>4.5</v>
      </c>
      <c r="X164" s="333">
        <f t="shared" ref="X164:X174" si="47">V164/(P164*10000)</f>
        <v>21.337199999999999</v>
      </c>
      <c r="Y164" s="333">
        <f t="shared" si="30"/>
        <v>1401.1427999999999</v>
      </c>
      <c r="Z164" s="807"/>
      <c r="AA164" s="711"/>
      <c r="AB164" s="340"/>
      <c r="AC164" s="406"/>
      <c r="AD164" s="459"/>
      <c r="AE164" s="421"/>
      <c r="AF164" s="463"/>
      <c r="AG164" s="459"/>
      <c r="AH164" s="503"/>
      <c r="AI164" s="340"/>
      <c r="AJ164" s="740"/>
      <c r="AK164" s="741"/>
      <c r="AL164" s="732"/>
      <c r="AM164" s="340">
        <f t="shared" si="44"/>
        <v>0</v>
      </c>
      <c r="AN164" s="340">
        <f t="shared" si="45"/>
        <v>0</v>
      </c>
      <c r="AO164" s="468"/>
      <c r="AP164" s="333">
        <f t="shared" si="46"/>
        <v>0</v>
      </c>
      <c r="AQ164" s="521">
        <v>8980</v>
      </c>
      <c r="AR164" s="416">
        <v>53.408784124882445</v>
      </c>
      <c r="AS164" s="164" t="s">
        <v>1742</v>
      </c>
      <c r="AT164" s="125" t="s">
        <v>1743</v>
      </c>
      <c r="AU164" s="113" t="s">
        <v>1632</v>
      </c>
    </row>
    <row r="165" spans="1:48" ht="206.25" x14ac:dyDescent="0.25">
      <c r="A165" s="8">
        <v>146</v>
      </c>
      <c r="B165" s="115"/>
      <c r="C165" s="108" t="s">
        <v>2790</v>
      </c>
      <c r="D165" s="109" t="s">
        <v>534</v>
      </c>
      <c r="E165" s="109" t="s">
        <v>526</v>
      </c>
      <c r="F165" s="110">
        <v>6510700000</v>
      </c>
      <c r="G165" s="109" t="s">
        <v>535</v>
      </c>
      <c r="H165" s="109" t="s">
        <v>528</v>
      </c>
      <c r="I165" s="111" t="s">
        <v>529</v>
      </c>
      <c r="J165" s="110" t="s">
        <v>536</v>
      </c>
      <c r="K165" s="111" t="s">
        <v>1480</v>
      </c>
      <c r="L165" s="109" t="s">
        <v>537</v>
      </c>
      <c r="M165" s="112" t="s">
        <v>532</v>
      </c>
      <c r="N165" s="109"/>
      <c r="O165" s="109" t="s">
        <v>8</v>
      </c>
      <c r="P165" s="114">
        <v>6.1000000000000004E-3</v>
      </c>
      <c r="Q165" s="107">
        <v>987.86</v>
      </c>
      <c r="R165" s="107">
        <v>60259.460000000006</v>
      </c>
      <c r="S165" s="115" t="s">
        <v>538</v>
      </c>
      <c r="T165" s="369"/>
      <c r="U165" s="336">
        <f>R165*W165%</f>
        <v>6025.9460000000008</v>
      </c>
      <c r="V165" s="333">
        <f t="shared" si="41"/>
        <v>6025.9460000000008</v>
      </c>
      <c r="W165" s="333">
        <v>10</v>
      </c>
      <c r="X165" s="333">
        <f t="shared" si="47"/>
        <v>98.786000000000001</v>
      </c>
      <c r="Y165" s="333">
        <f t="shared" si="30"/>
        <v>502.16216666666674</v>
      </c>
      <c r="Z165" s="807"/>
      <c r="AA165" s="711"/>
      <c r="AB165" s="340"/>
      <c r="AC165" s="406"/>
      <c r="AD165" s="459"/>
      <c r="AE165" s="421"/>
      <c r="AF165" s="463"/>
      <c r="AG165" s="459"/>
      <c r="AH165" s="503"/>
      <c r="AI165" s="340"/>
      <c r="AJ165" s="740"/>
      <c r="AK165" s="741"/>
      <c r="AL165" s="732"/>
      <c r="AM165" s="340">
        <f t="shared" si="44"/>
        <v>0</v>
      </c>
      <c r="AN165" s="340">
        <f t="shared" si="45"/>
        <v>0</v>
      </c>
      <c r="AO165" s="468"/>
      <c r="AP165" s="333">
        <f t="shared" si="46"/>
        <v>0</v>
      </c>
      <c r="AQ165" s="521">
        <v>0</v>
      </c>
      <c r="AR165" s="416">
        <v>0</v>
      </c>
      <c r="AS165" s="164" t="s">
        <v>1742</v>
      </c>
      <c r="AT165" s="125" t="s">
        <v>1727</v>
      </c>
      <c r="AU165" s="113" t="s">
        <v>1713</v>
      </c>
    </row>
    <row r="166" spans="1:48" ht="168.75" x14ac:dyDescent="0.25">
      <c r="A166" s="8">
        <v>148</v>
      </c>
      <c r="B166" s="266"/>
      <c r="C166" s="108" t="s">
        <v>539</v>
      </c>
      <c r="D166" s="109" t="s">
        <v>540</v>
      </c>
      <c r="E166" s="109" t="s">
        <v>1481</v>
      </c>
      <c r="F166" s="110">
        <v>6510700000</v>
      </c>
      <c r="G166" s="109" t="s">
        <v>543</v>
      </c>
      <c r="H166" s="109" t="s">
        <v>544</v>
      </c>
      <c r="I166" s="111" t="s">
        <v>545</v>
      </c>
      <c r="J166" s="110" t="s">
        <v>546</v>
      </c>
      <c r="K166" s="111" t="s">
        <v>1482</v>
      </c>
      <c r="L166" s="109" t="s">
        <v>547</v>
      </c>
      <c r="M166" s="112" t="s">
        <v>548</v>
      </c>
      <c r="N166" s="109"/>
      <c r="O166" s="109" t="s">
        <v>8</v>
      </c>
      <c r="P166" s="5">
        <v>1.11E-2</v>
      </c>
      <c r="Q166" s="107">
        <v>724.18</v>
      </c>
      <c r="R166" s="107">
        <v>80383.98</v>
      </c>
      <c r="S166" s="115" t="s">
        <v>549</v>
      </c>
      <c r="T166" s="369"/>
      <c r="U166" s="336">
        <v>9495.32</v>
      </c>
      <c r="V166" s="333">
        <f t="shared" si="41"/>
        <v>9495.32</v>
      </c>
      <c r="W166" s="333">
        <v>11.811999999999999</v>
      </c>
      <c r="X166" s="333">
        <f t="shared" si="47"/>
        <v>85.54342342342342</v>
      </c>
      <c r="Y166" s="333">
        <f t="shared" si="30"/>
        <v>791.27666666666664</v>
      </c>
      <c r="Z166" s="807"/>
      <c r="AA166" s="711"/>
      <c r="AB166" s="340"/>
      <c r="AC166" s="406"/>
      <c r="AD166" s="459"/>
      <c r="AE166" s="421"/>
      <c r="AF166" s="463"/>
      <c r="AG166" s="459"/>
      <c r="AH166" s="503"/>
      <c r="AI166" s="340"/>
      <c r="AJ166" s="740"/>
      <c r="AK166" s="741"/>
      <c r="AL166" s="732"/>
      <c r="AM166" s="340">
        <f t="shared" si="44"/>
        <v>0</v>
      </c>
      <c r="AN166" s="340">
        <f t="shared" si="45"/>
        <v>0</v>
      </c>
      <c r="AO166" s="468"/>
      <c r="AP166" s="333">
        <f t="shared" si="46"/>
        <v>0</v>
      </c>
      <c r="AQ166" s="521">
        <v>9020</v>
      </c>
      <c r="AR166" s="523">
        <v>94.994165546816745</v>
      </c>
      <c r="AS166" s="164" t="s">
        <v>1745</v>
      </c>
      <c r="AT166" s="125" t="s">
        <v>1746</v>
      </c>
      <c r="AU166" s="113" t="s">
        <v>1634</v>
      </c>
      <c r="AV166" s="390" t="s">
        <v>2198</v>
      </c>
    </row>
    <row r="167" spans="1:48" ht="156" x14ac:dyDescent="0.25">
      <c r="A167" s="8">
        <v>149</v>
      </c>
      <c r="B167" s="115">
        <v>80</v>
      </c>
      <c r="C167" s="96" t="s">
        <v>3447</v>
      </c>
      <c r="D167" s="10" t="s">
        <v>2072</v>
      </c>
      <c r="E167" s="14">
        <v>2533518432</v>
      </c>
      <c r="F167" s="14">
        <v>6510700000</v>
      </c>
      <c r="G167" s="14" t="s">
        <v>550</v>
      </c>
      <c r="H167" s="10" t="s">
        <v>551</v>
      </c>
      <c r="I167" s="75" t="s">
        <v>3241</v>
      </c>
      <c r="J167" s="19" t="s">
        <v>552</v>
      </c>
      <c r="K167" s="75"/>
      <c r="L167" s="14" t="s">
        <v>2902</v>
      </c>
      <c r="M167" s="20" t="s">
        <v>552</v>
      </c>
      <c r="N167" s="10"/>
      <c r="O167" s="10" t="s">
        <v>8</v>
      </c>
      <c r="P167" s="19" t="s">
        <v>1483</v>
      </c>
      <c r="Q167" s="12">
        <f>R167/500</f>
        <v>2217.7800000000002</v>
      </c>
      <c r="R167" s="12">
        <v>1108890</v>
      </c>
      <c r="S167" s="813" t="s">
        <v>3444</v>
      </c>
      <c r="T167" s="369"/>
      <c r="U167" s="336">
        <f t="shared" ref="U167:U172" si="48">R167*W167%</f>
        <v>33266.699999999997</v>
      </c>
      <c r="V167" s="333">
        <f t="shared" si="41"/>
        <v>33266.699999999997</v>
      </c>
      <c r="W167" s="333">
        <v>3</v>
      </c>
      <c r="X167" s="333">
        <f t="shared" si="47"/>
        <v>66.5334</v>
      </c>
      <c r="Y167" s="333">
        <f t="shared" si="30"/>
        <v>2772.2249999999999</v>
      </c>
      <c r="Z167" s="807">
        <v>4000</v>
      </c>
      <c r="AA167" s="711">
        <v>10000</v>
      </c>
      <c r="AB167" s="340">
        <v>2384</v>
      </c>
      <c r="AC167" s="406"/>
      <c r="AD167" s="459">
        <v>2487.3000000000002</v>
      </c>
      <c r="AE167" s="421"/>
      <c r="AF167" s="463"/>
      <c r="AG167" s="459"/>
      <c r="AH167" s="503"/>
      <c r="AI167" s="340"/>
      <c r="AJ167" s="740"/>
      <c r="AK167" s="741"/>
      <c r="AL167" s="732"/>
      <c r="AM167" s="340">
        <f t="shared" si="44"/>
        <v>18871.3</v>
      </c>
      <c r="AN167" s="340">
        <f t="shared" si="45"/>
        <v>14871.3</v>
      </c>
      <c r="AO167" s="468"/>
      <c r="AP167" s="333">
        <f t="shared" si="46"/>
        <v>56.727297868439017</v>
      </c>
      <c r="AQ167" s="192">
        <v>10826.740000000002</v>
      </c>
      <c r="AR167" s="416">
        <v>162.73592917427612</v>
      </c>
      <c r="AS167" s="140" t="s">
        <v>2588</v>
      </c>
      <c r="AT167" s="11" t="s">
        <v>1747</v>
      </c>
      <c r="AU167" s="13"/>
    </row>
    <row r="168" spans="1:48" ht="156" x14ac:dyDescent="0.25">
      <c r="A168" s="8">
        <v>150</v>
      </c>
      <c r="B168" s="9">
        <v>81</v>
      </c>
      <c r="C168" s="508" t="s">
        <v>2788</v>
      </c>
      <c r="D168" s="10" t="s">
        <v>2848</v>
      </c>
      <c r="E168" s="159" t="s">
        <v>2849</v>
      </c>
      <c r="F168" s="159">
        <v>6510700000</v>
      </c>
      <c r="G168" s="159" t="s">
        <v>553</v>
      </c>
      <c r="H168" s="150" t="s">
        <v>554</v>
      </c>
      <c r="I168" s="160" t="s">
        <v>3240</v>
      </c>
      <c r="J168" s="161" t="s">
        <v>114</v>
      </c>
      <c r="K168" s="160"/>
      <c r="L168" s="159" t="s">
        <v>555</v>
      </c>
      <c r="M168" s="317" t="s">
        <v>114</v>
      </c>
      <c r="N168" s="150"/>
      <c r="O168" s="150" t="s">
        <v>8</v>
      </c>
      <c r="P168" s="161" t="s">
        <v>1484</v>
      </c>
      <c r="Q168" s="156">
        <f>R168/600</f>
        <v>1755.74</v>
      </c>
      <c r="R168" s="156">
        <v>1053444</v>
      </c>
      <c r="S168" s="813" t="s">
        <v>3445</v>
      </c>
      <c r="T168" s="729"/>
      <c r="U168" s="336">
        <f t="shared" si="48"/>
        <v>31603.32</v>
      </c>
      <c r="V168" s="333">
        <f t="shared" si="41"/>
        <v>31603.32</v>
      </c>
      <c r="W168" s="333">
        <v>3</v>
      </c>
      <c r="X168" s="333">
        <f t="shared" si="47"/>
        <v>52.672199999999997</v>
      </c>
      <c r="Y168" s="333">
        <f t="shared" si="30"/>
        <v>2633.61</v>
      </c>
      <c r="Z168" s="807"/>
      <c r="AA168" s="711">
        <v>2634</v>
      </c>
      <c r="AB168" s="340">
        <v>2634</v>
      </c>
      <c r="AC168" s="406"/>
      <c r="AD168" s="459">
        <v>2635</v>
      </c>
      <c r="AE168" s="421"/>
      <c r="AF168" s="463"/>
      <c r="AG168" s="459"/>
      <c r="AH168" s="503"/>
      <c r="AI168" s="340"/>
      <c r="AJ168" s="740"/>
      <c r="AK168" s="741"/>
      <c r="AL168" s="732"/>
      <c r="AM168" s="340">
        <f t="shared" si="44"/>
        <v>7903</v>
      </c>
      <c r="AN168" s="340">
        <f t="shared" si="45"/>
        <v>7903</v>
      </c>
      <c r="AO168" s="468"/>
      <c r="AP168" s="333">
        <f t="shared" si="46"/>
        <v>25.006866367204459</v>
      </c>
      <c r="AQ168" s="686">
        <v>31618</v>
      </c>
      <c r="AR168" s="416">
        <v>100.06525857523631</v>
      </c>
      <c r="AS168" s="445" t="s">
        <v>2589</v>
      </c>
      <c r="AT168" s="158" t="s">
        <v>1748</v>
      </c>
      <c r="AU168" s="154"/>
    </row>
    <row r="169" spans="1:48" ht="150" x14ac:dyDescent="0.25">
      <c r="A169" s="8">
        <v>151</v>
      </c>
      <c r="B169" s="9">
        <v>82</v>
      </c>
      <c r="C169" s="108" t="s">
        <v>2456</v>
      </c>
      <c r="D169" s="109" t="s">
        <v>2457</v>
      </c>
      <c r="E169" s="188" t="s">
        <v>1485</v>
      </c>
      <c r="F169" s="109">
        <v>6510700000</v>
      </c>
      <c r="G169" s="109" t="s">
        <v>556</v>
      </c>
      <c r="H169" s="109" t="s">
        <v>465</v>
      </c>
      <c r="I169" s="111" t="s">
        <v>2458</v>
      </c>
      <c r="J169" s="110" t="s">
        <v>2465</v>
      </c>
      <c r="K169" s="111" t="s">
        <v>2459</v>
      </c>
      <c r="L169" s="109" t="s">
        <v>2460</v>
      </c>
      <c r="M169" s="112" t="s">
        <v>2461</v>
      </c>
      <c r="N169" s="109" t="s">
        <v>2462</v>
      </c>
      <c r="O169" s="109" t="s">
        <v>8</v>
      </c>
      <c r="P169" s="429">
        <v>4.0000000000000001E-3</v>
      </c>
      <c r="Q169" s="188">
        <f>R169/40</f>
        <v>1030.8600000000001</v>
      </c>
      <c r="R169" s="107">
        <v>41234.400000000001</v>
      </c>
      <c r="S169" s="115" t="s">
        <v>2463</v>
      </c>
      <c r="T169" s="369"/>
      <c r="U169" s="344">
        <f t="shared" si="48"/>
        <v>412.34400000000005</v>
      </c>
      <c r="V169" s="345">
        <f t="shared" si="41"/>
        <v>412.34400000000005</v>
      </c>
      <c r="W169" s="345">
        <v>1</v>
      </c>
      <c r="X169" s="345">
        <f t="shared" si="47"/>
        <v>10.308600000000002</v>
      </c>
      <c r="Y169" s="345">
        <f t="shared" si="30"/>
        <v>34.362000000000002</v>
      </c>
      <c r="Z169" s="807">
        <v>412</v>
      </c>
      <c r="AA169" s="852"/>
      <c r="AB169" s="359"/>
      <c r="AC169" s="407"/>
      <c r="AD169" s="483"/>
      <c r="AE169" s="422"/>
      <c r="AF169" s="462"/>
      <c r="AG169" s="483"/>
      <c r="AH169" s="502"/>
      <c r="AI169" s="359"/>
      <c r="AJ169" s="751"/>
      <c r="AK169" s="529"/>
      <c r="AL169" s="752"/>
      <c r="AM169" s="340">
        <f t="shared" si="44"/>
        <v>412</v>
      </c>
      <c r="AN169" s="340">
        <f t="shared" si="45"/>
        <v>0</v>
      </c>
      <c r="AO169" s="468"/>
      <c r="AP169" s="345">
        <f t="shared" si="46"/>
        <v>99.916574510602786</v>
      </c>
      <c r="AQ169" s="521">
        <v>412.34</v>
      </c>
      <c r="AR169" s="523">
        <v>99.999029936169791</v>
      </c>
      <c r="AS169" s="164">
        <v>45428</v>
      </c>
      <c r="AT169" s="125" t="s">
        <v>2464</v>
      </c>
      <c r="AU169" s="113" t="s">
        <v>1850</v>
      </c>
    </row>
    <row r="170" spans="1:48" ht="150" x14ac:dyDescent="0.25">
      <c r="A170" s="8">
        <v>153</v>
      </c>
      <c r="B170" s="115">
        <v>84</v>
      </c>
      <c r="C170" s="119" t="s">
        <v>2789</v>
      </c>
      <c r="D170" s="109" t="s">
        <v>2847</v>
      </c>
      <c r="E170" s="115">
        <v>2530420737</v>
      </c>
      <c r="F170" s="115">
        <v>6510700000</v>
      </c>
      <c r="G170" s="115" t="s">
        <v>568</v>
      </c>
      <c r="H170" s="110" t="s">
        <v>569</v>
      </c>
      <c r="I170" s="111" t="s">
        <v>2918</v>
      </c>
      <c r="J170" s="109" t="s">
        <v>2949</v>
      </c>
      <c r="K170" s="113" t="s">
        <v>2919</v>
      </c>
      <c r="L170" s="109" t="s">
        <v>2950</v>
      </c>
      <c r="M170" s="112" t="s">
        <v>570</v>
      </c>
      <c r="N170" s="109"/>
      <c r="O170" s="109" t="s">
        <v>8</v>
      </c>
      <c r="P170" s="114">
        <v>0.01</v>
      </c>
      <c r="Q170" s="107">
        <f>R170/100</f>
        <v>223.7</v>
      </c>
      <c r="R170" s="107">
        <v>22370</v>
      </c>
      <c r="S170" s="107" t="s">
        <v>2917</v>
      </c>
      <c r="T170" s="369"/>
      <c r="U170" s="344">
        <f t="shared" si="48"/>
        <v>223.70000000000002</v>
      </c>
      <c r="V170" s="345">
        <f t="shared" si="41"/>
        <v>223.70000000000002</v>
      </c>
      <c r="W170" s="344">
        <v>1</v>
      </c>
      <c r="X170" s="345">
        <f t="shared" si="47"/>
        <v>2.2370000000000001</v>
      </c>
      <c r="Y170" s="345">
        <f t="shared" ref="Y170:Y233" si="49">V170/12</f>
        <v>18.641666666666669</v>
      </c>
      <c r="Z170" s="807"/>
      <c r="AA170" s="852"/>
      <c r="AB170" s="359"/>
      <c r="AC170" s="407"/>
      <c r="AD170" s="483"/>
      <c r="AE170" s="422"/>
      <c r="AF170" s="462"/>
      <c r="AG170" s="483"/>
      <c r="AH170" s="502"/>
      <c r="AI170" s="359"/>
      <c r="AJ170" s="751"/>
      <c r="AK170" s="529"/>
      <c r="AL170" s="752"/>
      <c r="AM170" s="340">
        <f t="shared" si="44"/>
        <v>0</v>
      </c>
      <c r="AN170" s="340">
        <f t="shared" si="45"/>
        <v>0</v>
      </c>
      <c r="AO170" s="468"/>
      <c r="AP170" s="345">
        <f t="shared" si="46"/>
        <v>0</v>
      </c>
      <c r="AQ170" s="521">
        <v>223.7</v>
      </c>
      <c r="AR170" s="523">
        <v>99.999999999999986</v>
      </c>
      <c r="AS170" s="164">
        <v>44350</v>
      </c>
      <c r="AT170" s="125" t="s">
        <v>1749</v>
      </c>
      <c r="AU170" s="113" t="s">
        <v>1824</v>
      </c>
    </row>
    <row r="171" spans="1:48" ht="112.5" x14ac:dyDescent="0.25">
      <c r="A171" s="8">
        <v>154</v>
      </c>
      <c r="B171" s="115">
        <v>85</v>
      </c>
      <c r="C171" s="264" t="s">
        <v>571</v>
      </c>
      <c r="D171" s="267" t="s">
        <v>572</v>
      </c>
      <c r="E171" s="267" t="s">
        <v>1486</v>
      </c>
      <c r="F171" s="270">
        <v>6510700000</v>
      </c>
      <c r="G171" s="294" t="s">
        <v>573</v>
      </c>
      <c r="H171" s="265" t="s">
        <v>574</v>
      </c>
      <c r="I171" s="271" t="s">
        <v>50</v>
      </c>
      <c r="J171" s="297" t="s">
        <v>575</v>
      </c>
      <c r="K171" s="297" t="s">
        <v>576</v>
      </c>
      <c r="L171" s="265" t="s">
        <v>577</v>
      </c>
      <c r="M171" s="283" t="s">
        <v>578</v>
      </c>
      <c r="N171" s="265"/>
      <c r="O171" s="265" t="s">
        <v>8</v>
      </c>
      <c r="P171" s="268">
        <v>0.09</v>
      </c>
      <c r="Q171" s="269">
        <v>657.72</v>
      </c>
      <c r="R171" s="269">
        <v>591948</v>
      </c>
      <c r="S171" s="294" t="s">
        <v>579</v>
      </c>
      <c r="T171" s="374">
        <v>55004.959999999999</v>
      </c>
      <c r="U171" s="336">
        <f t="shared" si="48"/>
        <v>50315.58</v>
      </c>
      <c r="V171" s="333">
        <f t="shared" si="41"/>
        <v>50315.58</v>
      </c>
      <c r="W171" s="332">
        <v>8.5</v>
      </c>
      <c r="X171" s="333">
        <f t="shared" si="47"/>
        <v>55.906200000000005</v>
      </c>
      <c r="Y171" s="333">
        <f t="shared" si="49"/>
        <v>4192.9650000000001</v>
      </c>
      <c r="Z171" s="807">
        <v>1200</v>
      </c>
      <c r="AA171" s="711">
        <v>4192.97</v>
      </c>
      <c r="AB171" s="340">
        <v>4192.97</v>
      </c>
      <c r="AC171" s="406">
        <v>4192.97</v>
      </c>
      <c r="AD171" s="459">
        <v>4192.97</v>
      </c>
      <c r="AE171" s="421"/>
      <c r="AF171" s="463"/>
      <c r="AG171" s="459"/>
      <c r="AH171" s="503"/>
      <c r="AI171" s="340"/>
      <c r="AJ171" s="740"/>
      <c r="AK171" s="741"/>
      <c r="AL171" s="732"/>
      <c r="AM171" s="340">
        <f t="shared" si="44"/>
        <v>17971.88</v>
      </c>
      <c r="AN171" s="340">
        <f t="shared" si="45"/>
        <v>16771.88</v>
      </c>
      <c r="AO171" s="468"/>
      <c r="AP171" s="333">
        <f t="shared" si="46"/>
        <v>35.718320249910661</v>
      </c>
      <c r="AQ171" s="690">
        <v>40000</v>
      </c>
      <c r="AR171" s="695">
        <v>79.498238915262434</v>
      </c>
      <c r="AS171" s="310">
        <v>43976</v>
      </c>
      <c r="AT171" s="377" t="s">
        <v>1750</v>
      </c>
      <c r="AU171" s="267" t="s">
        <v>1634</v>
      </c>
    </row>
    <row r="172" spans="1:48" ht="150" x14ac:dyDescent="0.25">
      <c r="A172" s="8">
        <v>155</v>
      </c>
      <c r="B172" s="266">
        <v>86</v>
      </c>
      <c r="C172" s="119" t="s">
        <v>580</v>
      </c>
      <c r="D172" s="120" t="s">
        <v>581</v>
      </c>
      <c r="E172" s="120">
        <v>2634808495</v>
      </c>
      <c r="F172" s="110">
        <v>6510700000</v>
      </c>
      <c r="G172" s="110" t="s">
        <v>582</v>
      </c>
      <c r="H172" s="110" t="s">
        <v>583</v>
      </c>
      <c r="I172" s="111" t="s">
        <v>584</v>
      </c>
      <c r="J172" s="112" t="s">
        <v>585</v>
      </c>
      <c r="K172" s="113" t="s">
        <v>1487</v>
      </c>
      <c r="L172" s="109" t="s">
        <v>586</v>
      </c>
      <c r="M172" s="112" t="s">
        <v>587</v>
      </c>
      <c r="N172" s="109"/>
      <c r="O172" s="109" t="s">
        <v>8</v>
      </c>
      <c r="P172" s="114">
        <v>3.3799999999999997E-2</v>
      </c>
      <c r="Q172" s="107">
        <v>202.96</v>
      </c>
      <c r="R172" s="107">
        <v>68600.479999999996</v>
      </c>
      <c r="S172" s="107" t="s">
        <v>588</v>
      </c>
      <c r="T172" s="369"/>
      <c r="U172" s="336">
        <f t="shared" si="48"/>
        <v>5831.0407999999998</v>
      </c>
      <c r="V172" s="333">
        <f t="shared" si="41"/>
        <v>5831.0407999999998</v>
      </c>
      <c r="W172" s="332">
        <v>8.5</v>
      </c>
      <c r="X172" s="333">
        <f t="shared" si="47"/>
        <v>17.251600000000003</v>
      </c>
      <c r="Y172" s="333">
        <f t="shared" si="49"/>
        <v>485.92006666666663</v>
      </c>
      <c r="Z172" s="807"/>
      <c r="AA172" s="711"/>
      <c r="AB172" s="340"/>
      <c r="AC172" s="406"/>
      <c r="AD172" s="459"/>
      <c r="AE172" s="421"/>
      <c r="AF172" s="463"/>
      <c r="AG172" s="459"/>
      <c r="AH172" s="503"/>
      <c r="AI172" s="340"/>
      <c r="AJ172" s="740"/>
      <c r="AK172" s="741"/>
      <c r="AL172" s="732"/>
      <c r="AM172" s="340">
        <f t="shared" si="44"/>
        <v>0</v>
      </c>
      <c r="AN172" s="340">
        <f t="shared" si="45"/>
        <v>0</v>
      </c>
      <c r="AO172" s="468"/>
      <c r="AP172" s="333">
        <f t="shared" si="46"/>
        <v>0</v>
      </c>
      <c r="AQ172" s="521">
        <v>5830.99</v>
      </c>
      <c r="AR172" s="416">
        <v>99.999128800470757</v>
      </c>
      <c r="AS172" s="164" t="s">
        <v>2568</v>
      </c>
      <c r="AT172" s="112" t="s">
        <v>1751</v>
      </c>
      <c r="AU172" s="113" t="s">
        <v>1639</v>
      </c>
    </row>
    <row r="173" spans="1:48" ht="187.5" x14ac:dyDescent="0.25">
      <c r="A173" s="8">
        <v>156</v>
      </c>
      <c r="B173" s="115">
        <v>87</v>
      </c>
      <c r="C173" s="264" t="s">
        <v>589</v>
      </c>
      <c r="D173" s="265" t="s">
        <v>590</v>
      </c>
      <c r="E173" s="266">
        <v>2899311755</v>
      </c>
      <c r="F173" s="270">
        <v>6510700000</v>
      </c>
      <c r="G173" s="270" t="s">
        <v>591</v>
      </c>
      <c r="H173" s="270" t="s">
        <v>592</v>
      </c>
      <c r="I173" s="271" t="s">
        <v>593</v>
      </c>
      <c r="J173" s="265" t="s">
        <v>594</v>
      </c>
      <c r="K173" s="267" t="s">
        <v>1488</v>
      </c>
      <c r="L173" s="265" t="s">
        <v>595</v>
      </c>
      <c r="M173" s="283" t="s">
        <v>1489</v>
      </c>
      <c r="N173" s="265"/>
      <c r="O173" s="265" t="s">
        <v>8</v>
      </c>
      <c r="P173" s="268">
        <v>4.6800000000000001E-2</v>
      </c>
      <c r="Q173" s="269">
        <v>1596.35</v>
      </c>
      <c r="R173" s="269">
        <v>747091.79999999993</v>
      </c>
      <c r="S173" s="269" t="s">
        <v>596</v>
      </c>
      <c r="T173" s="374"/>
      <c r="U173" s="349">
        <v>23197.17</v>
      </c>
      <c r="V173" s="350">
        <f t="shared" si="41"/>
        <v>23197.17</v>
      </c>
      <c r="W173" s="349">
        <v>3.1</v>
      </c>
      <c r="X173" s="350">
        <f t="shared" si="47"/>
        <v>49.56660256410256</v>
      </c>
      <c r="Y173" s="350">
        <f t="shared" si="49"/>
        <v>1933.0974999999999</v>
      </c>
      <c r="Z173" s="807"/>
      <c r="AA173" s="855">
        <v>14999</v>
      </c>
      <c r="AB173" s="358"/>
      <c r="AC173" s="408"/>
      <c r="AD173" s="458"/>
      <c r="AE173" s="437"/>
      <c r="AF173" s="469"/>
      <c r="AG173" s="486"/>
      <c r="AH173" s="504"/>
      <c r="AI173" s="358"/>
      <c r="AJ173" s="765"/>
      <c r="AK173" s="475"/>
      <c r="AL173" s="766"/>
      <c r="AM173" s="340">
        <f t="shared" si="44"/>
        <v>14999</v>
      </c>
      <c r="AN173" s="340">
        <f t="shared" si="45"/>
        <v>14999</v>
      </c>
      <c r="AO173" s="468"/>
      <c r="AP173" s="350">
        <f t="shared" si="46"/>
        <v>64.658749321576735</v>
      </c>
      <c r="AQ173" s="690">
        <v>21362.549999999996</v>
      </c>
      <c r="AR173" s="695">
        <v>92.091190434005512</v>
      </c>
      <c r="AS173" s="310" t="s">
        <v>2590</v>
      </c>
      <c r="AT173" s="313" t="s">
        <v>1753</v>
      </c>
      <c r="AU173" s="267" t="s">
        <v>1713</v>
      </c>
    </row>
    <row r="174" spans="1:48" ht="131.25" x14ac:dyDescent="0.25">
      <c r="A174" s="8">
        <v>157</v>
      </c>
      <c r="B174" s="266">
        <v>88</v>
      </c>
      <c r="C174" s="108" t="s">
        <v>589</v>
      </c>
      <c r="D174" s="109" t="s">
        <v>590</v>
      </c>
      <c r="E174" s="115">
        <v>2899311755</v>
      </c>
      <c r="F174" s="110">
        <v>6510700000</v>
      </c>
      <c r="G174" s="110" t="s">
        <v>597</v>
      </c>
      <c r="H174" s="110" t="s">
        <v>598</v>
      </c>
      <c r="I174" s="111" t="s">
        <v>599</v>
      </c>
      <c r="J174" s="109" t="s">
        <v>600</v>
      </c>
      <c r="K174" s="113" t="s">
        <v>1490</v>
      </c>
      <c r="L174" s="109" t="s">
        <v>601</v>
      </c>
      <c r="M174" s="112" t="s">
        <v>602</v>
      </c>
      <c r="N174" s="109"/>
      <c r="O174" s="109" t="s">
        <v>8</v>
      </c>
      <c r="P174" s="114">
        <v>1.7189000000000001</v>
      </c>
      <c r="Q174" s="107">
        <v>294.72000000000003</v>
      </c>
      <c r="R174" s="107">
        <v>5065942.08</v>
      </c>
      <c r="S174" s="107" t="s">
        <v>603</v>
      </c>
      <c r="T174" s="369"/>
      <c r="U174" s="349">
        <v>52685.74</v>
      </c>
      <c r="V174" s="350">
        <f t="shared" si="41"/>
        <v>52685.74</v>
      </c>
      <c r="W174" s="349">
        <v>1.04</v>
      </c>
      <c r="X174" s="350">
        <f t="shared" si="47"/>
        <v>3.0650846471580659</v>
      </c>
      <c r="Y174" s="333">
        <f t="shared" si="49"/>
        <v>4390.4783333333335</v>
      </c>
      <c r="Z174" s="807"/>
      <c r="AA174" s="711"/>
      <c r="AB174" s="340"/>
      <c r="AC174" s="406"/>
      <c r="AD174" s="458"/>
      <c r="AE174" s="421"/>
      <c r="AF174" s="463"/>
      <c r="AG174" s="459"/>
      <c r="AH174" s="503"/>
      <c r="AI174" s="340"/>
      <c r="AJ174" s="740"/>
      <c r="AK174" s="741"/>
      <c r="AL174" s="732"/>
      <c r="AM174" s="340">
        <f t="shared" si="44"/>
        <v>0</v>
      </c>
      <c r="AN174" s="340">
        <f t="shared" si="45"/>
        <v>0</v>
      </c>
      <c r="AO174" s="468"/>
      <c r="AP174" s="333">
        <f t="shared" si="46"/>
        <v>0</v>
      </c>
      <c r="AQ174" s="521">
        <v>41009.1</v>
      </c>
      <c r="AR174" s="523">
        <v>77.837190860373227</v>
      </c>
      <c r="AS174" s="164" t="s">
        <v>2591</v>
      </c>
      <c r="AT174" s="128" t="s">
        <v>3007</v>
      </c>
      <c r="AU174" s="113" t="s">
        <v>1632</v>
      </c>
    </row>
    <row r="175" spans="1:48" ht="206.25" x14ac:dyDescent="0.25">
      <c r="A175" s="8">
        <v>158</v>
      </c>
      <c r="B175" s="115"/>
      <c r="C175" s="528" t="s">
        <v>589</v>
      </c>
      <c r="D175" s="265" t="s">
        <v>590</v>
      </c>
      <c r="E175" s="266">
        <v>2899311755</v>
      </c>
      <c r="F175" s="270">
        <v>6510700000</v>
      </c>
      <c r="G175" s="270" t="s">
        <v>3001</v>
      </c>
      <c r="H175" s="270" t="s">
        <v>3000</v>
      </c>
      <c r="I175" s="271" t="s">
        <v>3002</v>
      </c>
      <c r="J175" s="265" t="s">
        <v>3003</v>
      </c>
      <c r="K175" s="267" t="s">
        <v>3004</v>
      </c>
      <c r="L175" s="265" t="s">
        <v>3005</v>
      </c>
      <c r="M175" s="283">
        <v>43749</v>
      </c>
      <c r="N175" s="265"/>
      <c r="O175" s="265" t="s">
        <v>8</v>
      </c>
      <c r="P175" s="268">
        <v>0.112</v>
      </c>
      <c r="Q175" s="269">
        <f>R175/1120</f>
        <v>569.85</v>
      </c>
      <c r="R175" s="269">
        <v>638232</v>
      </c>
      <c r="S175" s="269" t="s">
        <v>3006</v>
      </c>
      <c r="T175" s="374">
        <v>10131.959999999999</v>
      </c>
      <c r="U175" s="349">
        <v>10131.959999999999</v>
      </c>
      <c r="V175" s="350">
        <f t="shared" si="41"/>
        <v>10131.959999999999</v>
      </c>
      <c r="W175" s="349">
        <v>1.5880000000000001</v>
      </c>
      <c r="X175" s="350">
        <f>U175/(P175*10000)</f>
        <v>9.0463928571428571</v>
      </c>
      <c r="Y175" s="350">
        <f t="shared" si="49"/>
        <v>844.32999999999993</v>
      </c>
      <c r="Z175" s="807"/>
      <c r="AA175" s="855"/>
      <c r="AB175" s="358"/>
      <c r="AC175" s="408"/>
      <c r="AD175" s="486"/>
      <c r="AE175" s="437"/>
      <c r="AF175" s="469"/>
      <c r="AG175" s="486"/>
      <c r="AH175" s="504"/>
      <c r="AI175" s="358"/>
      <c r="AJ175" s="765"/>
      <c r="AK175" s="475"/>
      <c r="AL175" s="766"/>
      <c r="AM175" s="340">
        <f t="shared" si="44"/>
        <v>0</v>
      </c>
      <c r="AN175" s="340">
        <f t="shared" si="45"/>
        <v>0</v>
      </c>
      <c r="AO175" s="468"/>
      <c r="AP175" s="350">
        <f t="shared" si="46"/>
        <v>0</v>
      </c>
      <c r="AQ175" s="690">
        <v>2299.61</v>
      </c>
      <c r="AR175" s="695">
        <v>101.72429809389418</v>
      </c>
      <c r="AS175" s="310">
        <v>45546</v>
      </c>
      <c r="AT175" s="313" t="s">
        <v>3008</v>
      </c>
      <c r="AU175" s="267" t="s">
        <v>1634</v>
      </c>
    </row>
    <row r="176" spans="1:48" ht="150" x14ac:dyDescent="0.25">
      <c r="A176" s="8">
        <v>159</v>
      </c>
      <c r="B176" s="527">
        <v>89</v>
      </c>
      <c r="C176" s="264" t="s">
        <v>604</v>
      </c>
      <c r="D176" s="265" t="s">
        <v>605</v>
      </c>
      <c r="E176" s="266">
        <v>2779213383</v>
      </c>
      <c r="F176" s="270">
        <v>6510700000</v>
      </c>
      <c r="G176" s="270" t="s">
        <v>606</v>
      </c>
      <c r="H176" s="270" t="s">
        <v>607</v>
      </c>
      <c r="I176" s="271" t="s">
        <v>608</v>
      </c>
      <c r="J176" s="265" t="s">
        <v>609</v>
      </c>
      <c r="K176" s="267" t="s">
        <v>560</v>
      </c>
      <c r="L176" s="265" t="s">
        <v>610</v>
      </c>
      <c r="M176" s="283" t="s">
        <v>611</v>
      </c>
      <c r="N176" s="265"/>
      <c r="O176" s="265" t="s">
        <v>8</v>
      </c>
      <c r="P176" s="268">
        <v>5.9700000000000003E-2</v>
      </c>
      <c r="Q176" s="269">
        <v>724.18</v>
      </c>
      <c r="R176" s="269">
        <v>432335.46</v>
      </c>
      <c r="S176" s="269" t="s">
        <v>612</v>
      </c>
      <c r="T176" s="374"/>
      <c r="U176" s="349">
        <v>14137.36</v>
      </c>
      <c r="V176" s="350">
        <f t="shared" si="41"/>
        <v>14137.36</v>
      </c>
      <c r="W176" s="349">
        <v>3.27</v>
      </c>
      <c r="X176" s="350">
        <f t="shared" ref="X176:X185" si="50">V176/(P176*10000)</f>
        <v>23.680670016750419</v>
      </c>
      <c r="Y176" s="350">
        <f t="shared" si="49"/>
        <v>1178.1133333333335</v>
      </c>
      <c r="Z176" s="840"/>
      <c r="AA176" s="475"/>
      <c r="AB176" s="410"/>
      <c r="AC176" s="408"/>
      <c r="AD176" s="486"/>
      <c r="AE176" s="410"/>
      <c r="AF176" s="475"/>
      <c r="AG176" s="410"/>
      <c r="AH176" s="410"/>
      <c r="AI176" s="410"/>
      <c r="AJ176" s="765"/>
      <c r="AK176" s="475"/>
      <c r="AL176" s="766"/>
      <c r="AM176" s="340">
        <f t="shared" si="44"/>
        <v>0</v>
      </c>
      <c r="AN176" s="340">
        <f t="shared" si="45"/>
        <v>0</v>
      </c>
      <c r="AO176" s="468"/>
      <c r="AP176" s="350">
        <f t="shared" si="46"/>
        <v>0</v>
      </c>
      <c r="AQ176" s="690">
        <v>6725</v>
      </c>
      <c r="AR176" s="695">
        <v>47.56899449402151</v>
      </c>
      <c r="AS176" s="310" t="s">
        <v>2523</v>
      </c>
      <c r="AT176" s="313" t="s">
        <v>1754</v>
      </c>
      <c r="AU176" s="267" t="s">
        <v>1634</v>
      </c>
    </row>
    <row r="177" spans="1:48" ht="243.75" x14ac:dyDescent="0.25">
      <c r="A177" s="8">
        <v>160</v>
      </c>
      <c r="B177" s="266">
        <v>90</v>
      </c>
      <c r="C177" s="108" t="s">
        <v>2173</v>
      </c>
      <c r="D177" s="109" t="s">
        <v>2172</v>
      </c>
      <c r="E177" s="115">
        <v>3051612424</v>
      </c>
      <c r="F177" s="110">
        <v>6510700000</v>
      </c>
      <c r="G177" s="110" t="s">
        <v>613</v>
      </c>
      <c r="H177" s="110" t="s">
        <v>614</v>
      </c>
      <c r="I177" s="111" t="s">
        <v>2174</v>
      </c>
      <c r="J177" s="109" t="s">
        <v>2175</v>
      </c>
      <c r="K177" s="113" t="s">
        <v>6</v>
      </c>
      <c r="L177" s="109" t="s">
        <v>2176</v>
      </c>
      <c r="M177" s="112" t="s">
        <v>615</v>
      </c>
      <c r="N177" s="109"/>
      <c r="O177" s="109" t="s">
        <v>8</v>
      </c>
      <c r="P177" s="114">
        <v>0.1507</v>
      </c>
      <c r="Q177" s="107">
        <f>R177/1507</f>
        <v>940.08</v>
      </c>
      <c r="R177" s="107">
        <v>1416700.56</v>
      </c>
      <c r="S177" s="107" t="s">
        <v>2177</v>
      </c>
      <c r="T177" s="369"/>
      <c r="U177" s="344">
        <f t="shared" ref="U177:U182" si="51">R177*W177%</f>
        <v>46042.768200000006</v>
      </c>
      <c r="V177" s="344">
        <f t="shared" si="41"/>
        <v>46042.768200000006</v>
      </c>
      <c r="W177" s="344">
        <v>3.25</v>
      </c>
      <c r="X177" s="344">
        <f t="shared" si="50"/>
        <v>30.552600000000005</v>
      </c>
      <c r="Y177" s="344">
        <f t="shared" si="49"/>
        <v>3836.8973500000006</v>
      </c>
      <c r="Z177" s="840"/>
      <c r="AA177" s="529">
        <v>3836.9</v>
      </c>
      <c r="AB177" s="364">
        <v>3836.9</v>
      </c>
      <c r="AC177" s="407"/>
      <c r="AD177" s="483"/>
      <c r="AE177" s="422"/>
      <c r="AF177" s="462"/>
      <c r="AG177" s="483"/>
      <c r="AH177" s="502"/>
      <c r="AI177" s="364"/>
      <c r="AJ177" s="751"/>
      <c r="AK177" s="529"/>
      <c r="AL177" s="756"/>
      <c r="AM177" s="340">
        <f t="shared" si="44"/>
        <v>7673.8</v>
      </c>
      <c r="AN177" s="340">
        <f t="shared" si="45"/>
        <v>7673.8</v>
      </c>
      <c r="AO177" s="468"/>
      <c r="AP177" s="344">
        <f t="shared" si="46"/>
        <v>16.666678177703485</v>
      </c>
      <c r="AQ177" s="521">
        <v>46051.680000000008</v>
      </c>
      <c r="AR177" s="523">
        <v>100.01935548262713</v>
      </c>
      <c r="AS177" s="164">
        <v>44124</v>
      </c>
      <c r="AT177" s="113" t="s">
        <v>2178</v>
      </c>
      <c r="AU177" s="242">
        <v>3.07</v>
      </c>
    </row>
    <row r="178" spans="1:48" ht="131.25" x14ac:dyDescent="0.25">
      <c r="A178" s="8">
        <v>161</v>
      </c>
      <c r="B178" s="115">
        <v>91</v>
      </c>
      <c r="C178" s="234" t="s">
        <v>616</v>
      </c>
      <c r="D178" s="201" t="s">
        <v>617</v>
      </c>
      <c r="E178" s="196">
        <v>2184902014</v>
      </c>
      <c r="F178" s="198">
        <v>6510700000</v>
      </c>
      <c r="G178" s="198" t="s">
        <v>3428</v>
      </c>
      <c r="H178" s="19" t="s">
        <v>618</v>
      </c>
      <c r="I178" s="75" t="s">
        <v>619</v>
      </c>
      <c r="J178" s="20" t="s">
        <v>620</v>
      </c>
      <c r="K178" s="13" t="s">
        <v>1491</v>
      </c>
      <c r="L178" s="10" t="s">
        <v>621</v>
      </c>
      <c r="M178" s="20" t="s">
        <v>622</v>
      </c>
      <c r="N178" s="20">
        <v>43145</v>
      </c>
      <c r="O178" s="10" t="s">
        <v>8</v>
      </c>
      <c r="P178" s="27">
        <v>3.5000000000000001E-3</v>
      </c>
      <c r="Q178" s="12">
        <v>1716.69</v>
      </c>
      <c r="R178" s="12">
        <v>60084.15</v>
      </c>
      <c r="S178" s="9" t="s">
        <v>623</v>
      </c>
      <c r="T178" s="368"/>
      <c r="U178" s="354">
        <f t="shared" si="51"/>
        <v>3605.049</v>
      </c>
      <c r="V178" s="354">
        <f t="shared" si="41"/>
        <v>3605.049</v>
      </c>
      <c r="W178" s="354">
        <v>6</v>
      </c>
      <c r="X178" s="333">
        <f t="shared" si="50"/>
        <v>103.0014</v>
      </c>
      <c r="Y178" s="333">
        <f t="shared" si="49"/>
        <v>300.42075</v>
      </c>
      <c r="Z178" s="807"/>
      <c r="AA178" s="711">
        <v>600.9</v>
      </c>
      <c r="AB178" s="340">
        <v>300.5</v>
      </c>
      <c r="AC178" s="406">
        <v>300.5</v>
      </c>
      <c r="AD178" s="459">
        <v>300.5</v>
      </c>
      <c r="AE178" s="421"/>
      <c r="AF178" s="463"/>
      <c r="AG178" s="459"/>
      <c r="AH178" s="503"/>
      <c r="AI178" s="340"/>
      <c r="AJ178" s="740"/>
      <c r="AK178" s="741"/>
      <c r="AL178" s="732"/>
      <c r="AM178" s="340">
        <f t="shared" si="44"/>
        <v>1502.4</v>
      </c>
      <c r="AN178" s="340">
        <f t="shared" si="45"/>
        <v>1502.4</v>
      </c>
      <c r="AO178" s="468"/>
      <c r="AP178" s="333">
        <f t="shared" si="46"/>
        <v>41.674884308091237</v>
      </c>
      <c r="AQ178" s="192">
        <v>3497.5200000000004</v>
      </c>
      <c r="AR178" s="416">
        <v>97.017266616903143</v>
      </c>
      <c r="AS178" s="140" t="s">
        <v>2592</v>
      </c>
      <c r="AT178" s="17" t="s">
        <v>1755</v>
      </c>
      <c r="AU178" s="13" t="s">
        <v>1713</v>
      </c>
    </row>
    <row r="179" spans="1:48" ht="150" x14ac:dyDescent="0.25">
      <c r="A179" s="8">
        <v>162</v>
      </c>
      <c r="B179" s="8">
        <v>92</v>
      </c>
      <c r="C179" s="108" t="s">
        <v>624</v>
      </c>
      <c r="D179" s="109" t="s">
        <v>625</v>
      </c>
      <c r="E179" s="115">
        <v>2033510766</v>
      </c>
      <c r="F179" s="110">
        <v>6510700000</v>
      </c>
      <c r="G179" s="110" t="s">
        <v>626</v>
      </c>
      <c r="H179" s="110" t="s">
        <v>627</v>
      </c>
      <c r="I179" s="111" t="s">
        <v>628</v>
      </c>
      <c r="J179" s="112" t="s">
        <v>629</v>
      </c>
      <c r="K179" s="113" t="s">
        <v>1492</v>
      </c>
      <c r="L179" s="112" t="s">
        <v>630</v>
      </c>
      <c r="M179" s="112" t="s">
        <v>1493</v>
      </c>
      <c r="N179" s="112">
        <v>43255</v>
      </c>
      <c r="O179" s="109" t="s">
        <v>8</v>
      </c>
      <c r="P179" s="114">
        <v>1.95E-2</v>
      </c>
      <c r="Q179" s="107">
        <v>1515.38</v>
      </c>
      <c r="R179" s="107">
        <v>295499.10000000003</v>
      </c>
      <c r="S179" s="115" t="s">
        <v>631</v>
      </c>
      <c r="T179" s="369"/>
      <c r="U179" s="336">
        <f t="shared" si="51"/>
        <v>3102.7405500000004</v>
      </c>
      <c r="V179" s="333">
        <f t="shared" si="41"/>
        <v>3102.7405500000004</v>
      </c>
      <c r="W179" s="333">
        <v>1.05</v>
      </c>
      <c r="X179" s="333">
        <f t="shared" si="50"/>
        <v>15.911490000000002</v>
      </c>
      <c r="Y179" s="333">
        <f t="shared" si="49"/>
        <v>258.56171250000006</v>
      </c>
      <c r="Z179" s="807"/>
      <c r="AA179" s="711"/>
      <c r="AB179" s="340"/>
      <c r="AC179" s="406"/>
      <c r="AD179" s="459"/>
      <c r="AE179" s="421"/>
      <c r="AF179" s="463"/>
      <c r="AG179" s="459"/>
      <c r="AH179" s="503"/>
      <c r="AI179" s="340"/>
      <c r="AJ179" s="740"/>
      <c r="AK179" s="741"/>
      <c r="AL179" s="732"/>
      <c r="AM179" s="340">
        <f t="shared" si="44"/>
        <v>0</v>
      </c>
      <c r="AN179" s="340">
        <f t="shared" si="45"/>
        <v>0</v>
      </c>
      <c r="AO179" s="468"/>
      <c r="AP179" s="333">
        <f t="shared" si="46"/>
        <v>0</v>
      </c>
      <c r="AQ179" s="521">
        <v>2944</v>
      </c>
      <c r="AR179" s="416">
        <v>94.883860012078657</v>
      </c>
      <c r="AS179" s="164">
        <v>44648</v>
      </c>
      <c r="AT179" s="118" t="s">
        <v>1756</v>
      </c>
      <c r="AU179" s="113" t="s">
        <v>1713</v>
      </c>
    </row>
    <row r="180" spans="1:48" ht="168.75" x14ac:dyDescent="0.25">
      <c r="A180" s="8">
        <v>163</v>
      </c>
      <c r="B180" s="115">
        <v>93</v>
      </c>
      <c r="C180" s="108" t="s">
        <v>2793</v>
      </c>
      <c r="D180" s="109" t="s">
        <v>632</v>
      </c>
      <c r="E180" s="115">
        <v>2474906328</v>
      </c>
      <c r="F180" s="110">
        <v>6510700000</v>
      </c>
      <c r="G180" s="110" t="s">
        <v>633</v>
      </c>
      <c r="H180" s="110" t="s">
        <v>634</v>
      </c>
      <c r="I180" s="111" t="s">
        <v>229</v>
      </c>
      <c r="J180" s="109" t="s">
        <v>635</v>
      </c>
      <c r="K180" s="113" t="s">
        <v>1494</v>
      </c>
      <c r="L180" s="109" t="s">
        <v>636</v>
      </c>
      <c r="M180" s="112" t="s">
        <v>637</v>
      </c>
      <c r="N180" s="112">
        <v>43200</v>
      </c>
      <c r="O180" s="109" t="s">
        <v>8</v>
      </c>
      <c r="P180" s="114">
        <v>5.9999999999999995E-4</v>
      </c>
      <c r="Q180" s="107">
        <v>2043.2</v>
      </c>
      <c r="R180" s="107">
        <v>12259.199999999999</v>
      </c>
      <c r="S180" s="107" t="s">
        <v>638</v>
      </c>
      <c r="T180" s="369"/>
      <c r="U180" s="336">
        <f t="shared" si="51"/>
        <v>1348.5119999999999</v>
      </c>
      <c r="V180" s="333">
        <f t="shared" si="41"/>
        <v>1348.5119999999999</v>
      </c>
      <c r="W180" s="333">
        <v>11</v>
      </c>
      <c r="X180" s="333">
        <f t="shared" si="50"/>
        <v>224.75200000000004</v>
      </c>
      <c r="Y180" s="333">
        <f t="shared" si="49"/>
        <v>112.37599999999999</v>
      </c>
      <c r="Z180" s="807"/>
      <c r="AA180" s="711"/>
      <c r="AB180" s="340"/>
      <c r="AC180" s="406"/>
      <c r="AD180" s="459"/>
      <c r="AE180" s="421"/>
      <c r="AF180" s="463"/>
      <c r="AG180" s="459"/>
      <c r="AH180" s="503"/>
      <c r="AI180" s="340"/>
      <c r="AJ180" s="740"/>
      <c r="AK180" s="741"/>
      <c r="AL180" s="732"/>
      <c r="AM180" s="340">
        <f t="shared" si="44"/>
        <v>0</v>
      </c>
      <c r="AN180" s="340">
        <f t="shared" si="45"/>
        <v>0</v>
      </c>
      <c r="AO180" s="468"/>
      <c r="AP180" s="333">
        <f t="shared" si="46"/>
        <v>0</v>
      </c>
      <c r="AQ180" s="521">
        <v>1348.51</v>
      </c>
      <c r="AR180" s="416">
        <v>99.999851688379493</v>
      </c>
      <c r="AS180" s="164" t="s">
        <v>2557</v>
      </c>
      <c r="AT180" s="125" t="s">
        <v>1752</v>
      </c>
      <c r="AU180" s="113" t="s">
        <v>1713</v>
      </c>
    </row>
    <row r="181" spans="1:48" ht="318.75" x14ac:dyDescent="0.25">
      <c r="A181" s="8">
        <v>164</v>
      </c>
      <c r="B181" s="115">
        <v>94</v>
      </c>
      <c r="C181" s="108" t="s">
        <v>2180</v>
      </c>
      <c r="D181" s="389" t="s">
        <v>639</v>
      </c>
      <c r="E181" s="115">
        <v>3084514112</v>
      </c>
      <c r="F181" s="110">
        <v>6510700000</v>
      </c>
      <c r="G181" s="115" t="s">
        <v>640</v>
      </c>
      <c r="H181" s="110" t="s">
        <v>641</v>
      </c>
      <c r="I181" s="111" t="s">
        <v>2138</v>
      </c>
      <c r="J181" s="109" t="s">
        <v>2181</v>
      </c>
      <c r="K181" s="113" t="s">
        <v>2182</v>
      </c>
      <c r="L181" s="109" t="s">
        <v>2183</v>
      </c>
      <c r="M181" s="112">
        <v>43535</v>
      </c>
      <c r="N181" s="112"/>
      <c r="O181" s="109" t="s">
        <v>8</v>
      </c>
      <c r="P181" s="114">
        <v>0.1976</v>
      </c>
      <c r="Q181" s="107">
        <v>317.39</v>
      </c>
      <c r="R181" s="107">
        <v>627162.64</v>
      </c>
      <c r="S181" s="107" t="s">
        <v>2184</v>
      </c>
      <c r="T181" s="369"/>
      <c r="U181" s="336">
        <f t="shared" si="51"/>
        <v>28222.318800000001</v>
      </c>
      <c r="V181" s="332">
        <f t="shared" si="41"/>
        <v>28222.318800000001</v>
      </c>
      <c r="W181" s="332">
        <v>4.5</v>
      </c>
      <c r="X181" s="332">
        <f t="shared" si="50"/>
        <v>14.282550000000001</v>
      </c>
      <c r="Y181" s="332">
        <f t="shared" si="49"/>
        <v>2351.8598999999999</v>
      </c>
      <c r="Z181" s="840"/>
      <c r="AA181" s="741">
        <v>2352</v>
      </c>
      <c r="AB181" s="342"/>
      <c r="AC181" s="406">
        <v>2352</v>
      </c>
      <c r="AD181" s="459"/>
      <c r="AE181" s="421"/>
      <c r="AF181" s="463"/>
      <c r="AG181" s="459"/>
      <c r="AH181" s="503"/>
      <c r="AI181" s="342"/>
      <c r="AJ181" s="740"/>
      <c r="AK181" s="741"/>
      <c r="AL181" s="758"/>
      <c r="AM181" s="340">
        <f t="shared" si="44"/>
        <v>4704</v>
      </c>
      <c r="AN181" s="340">
        <f t="shared" si="45"/>
        <v>4704</v>
      </c>
      <c r="AO181" s="468"/>
      <c r="AP181" s="332">
        <f t="shared" si="46"/>
        <v>16.667659497914819</v>
      </c>
      <c r="AQ181" s="521">
        <v>21082.39</v>
      </c>
      <c r="AR181" s="416">
        <v>92.629374242638605</v>
      </c>
      <c r="AS181" s="164" t="s">
        <v>2593</v>
      </c>
      <c r="AT181" s="109" t="s">
        <v>1757</v>
      </c>
      <c r="AU181" s="113" t="s">
        <v>1639</v>
      </c>
    </row>
    <row r="182" spans="1:48" ht="150" x14ac:dyDescent="0.25">
      <c r="A182" s="8">
        <v>165</v>
      </c>
      <c r="B182" s="115">
        <v>95</v>
      </c>
      <c r="C182" s="108" t="s">
        <v>1950</v>
      </c>
      <c r="D182" s="109" t="s">
        <v>1951</v>
      </c>
      <c r="E182" s="115">
        <v>2062617372</v>
      </c>
      <c r="F182" s="110">
        <v>6510700000</v>
      </c>
      <c r="G182" s="110" t="s">
        <v>642</v>
      </c>
      <c r="H182" s="110" t="s">
        <v>643</v>
      </c>
      <c r="I182" s="111" t="s">
        <v>1952</v>
      </c>
      <c r="J182" s="109" t="s">
        <v>1953</v>
      </c>
      <c r="K182" s="113" t="s">
        <v>1954</v>
      </c>
      <c r="L182" s="109" t="s">
        <v>1955</v>
      </c>
      <c r="M182" s="112" t="s">
        <v>1956</v>
      </c>
      <c r="N182" s="109" t="s">
        <v>3526</v>
      </c>
      <c r="O182" s="109" t="s">
        <v>8</v>
      </c>
      <c r="P182" s="114">
        <v>2.3999999999999998E-3</v>
      </c>
      <c r="Q182" s="579">
        <f>R182/24</f>
        <v>426.56</v>
      </c>
      <c r="R182" s="579">
        <v>10237.44</v>
      </c>
      <c r="S182" s="719" t="s">
        <v>3361</v>
      </c>
      <c r="T182" s="369"/>
      <c r="U182" s="353">
        <f t="shared" si="51"/>
        <v>1228.4928</v>
      </c>
      <c r="V182" s="353">
        <f t="shared" si="41"/>
        <v>1228.4928</v>
      </c>
      <c r="W182" s="353">
        <v>12</v>
      </c>
      <c r="X182" s="333">
        <f t="shared" si="50"/>
        <v>51.187200000000004</v>
      </c>
      <c r="Y182" s="333">
        <f t="shared" si="49"/>
        <v>102.37439999999999</v>
      </c>
      <c r="Z182" s="807"/>
      <c r="AA182" s="529"/>
      <c r="AB182" s="364"/>
      <c r="AC182" s="407"/>
      <c r="AD182" s="483"/>
      <c r="AE182" s="422"/>
      <c r="AF182" s="462"/>
      <c r="AG182" s="483"/>
      <c r="AH182" s="502"/>
      <c r="AI182" s="364"/>
      <c r="AJ182" s="751"/>
      <c r="AK182" s="529"/>
      <c r="AL182" s="756"/>
      <c r="AM182" s="340">
        <f t="shared" si="44"/>
        <v>0</v>
      </c>
      <c r="AN182" s="340">
        <f t="shared" si="45"/>
        <v>0</v>
      </c>
      <c r="AO182" s="468"/>
      <c r="AP182" s="333">
        <f t="shared" si="46"/>
        <v>0</v>
      </c>
      <c r="AQ182" s="521">
        <v>1228.46</v>
      </c>
      <c r="AR182" s="523">
        <v>99.997330061682092</v>
      </c>
      <c r="AS182" s="164" t="s">
        <v>3257</v>
      </c>
      <c r="AT182" s="118" t="s">
        <v>1957</v>
      </c>
      <c r="AU182" s="113" t="s">
        <v>1850</v>
      </c>
    </row>
    <row r="183" spans="1:48" ht="150" x14ac:dyDescent="0.25">
      <c r="A183" s="8">
        <v>166</v>
      </c>
      <c r="B183" s="115">
        <v>96</v>
      </c>
      <c r="C183" s="119" t="s">
        <v>644</v>
      </c>
      <c r="D183" s="120" t="s">
        <v>645</v>
      </c>
      <c r="E183" s="115">
        <v>2863213318</v>
      </c>
      <c r="F183" s="110">
        <v>6510700000</v>
      </c>
      <c r="G183" s="110" t="s">
        <v>646</v>
      </c>
      <c r="H183" s="110" t="s">
        <v>647</v>
      </c>
      <c r="I183" s="111" t="s">
        <v>648</v>
      </c>
      <c r="J183" s="109" t="s">
        <v>649</v>
      </c>
      <c r="K183" s="113" t="s">
        <v>650</v>
      </c>
      <c r="L183" s="109" t="s">
        <v>651</v>
      </c>
      <c r="M183" s="112" t="s">
        <v>652</v>
      </c>
      <c r="N183" s="109"/>
      <c r="O183" s="109" t="s">
        <v>8</v>
      </c>
      <c r="P183" s="114">
        <v>8.9999999999999993E-3</v>
      </c>
      <c r="Q183" s="107">
        <v>1614.64</v>
      </c>
      <c r="R183" s="107">
        <v>145371.6</v>
      </c>
      <c r="S183" s="115" t="s">
        <v>653</v>
      </c>
      <c r="T183" s="369"/>
      <c r="U183" s="349">
        <f>V183</f>
        <v>15118.6</v>
      </c>
      <c r="V183" s="350">
        <v>15118.6</v>
      </c>
      <c r="W183" s="350">
        <v>10.4</v>
      </c>
      <c r="X183" s="333">
        <f t="shared" si="50"/>
        <v>167.98444444444445</v>
      </c>
      <c r="Y183" s="333">
        <f t="shared" si="49"/>
        <v>1259.8833333333334</v>
      </c>
      <c r="Z183" s="807"/>
      <c r="AA183" s="711"/>
      <c r="AB183" s="340"/>
      <c r="AC183" s="406"/>
      <c r="AD183" s="459"/>
      <c r="AE183" s="421"/>
      <c r="AF183" s="463"/>
      <c r="AG183" s="459"/>
      <c r="AH183" s="503"/>
      <c r="AI183" s="340"/>
      <c r="AJ183" s="740"/>
      <c r="AK183" s="741"/>
      <c r="AL183" s="732"/>
      <c r="AM183" s="340">
        <f t="shared" si="44"/>
        <v>0</v>
      </c>
      <c r="AN183" s="340">
        <f t="shared" si="45"/>
        <v>0</v>
      </c>
      <c r="AO183" s="468"/>
      <c r="AP183" s="333">
        <f t="shared" si="46"/>
        <v>0</v>
      </c>
      <c r="AQ183" s="521">
        <v>15084.76</v>
      </c>
      <c r="AR183" s="416">
        <v>99.77616975116743</v>
      </c>
      <c r="AS183" s="164" t="s">
        <v>2574</v>
      </c>
      <c r="AT183" s="118" t="s">
        <v>1758</v>
      </c>
      <c r="AU183" s="113" t="s">
        <v>1634</v>
      </c>
    </row>
    <row r="184" spans="1:48" ht="225" x14ac:dyDescent="0.25">
      <c r="A184" s="8">
        <v>167</v>
      </c>
      <c r="B184" s="115">
        <v>97</v>
      </c>
      <c r="C184" s="119" t="s">
        <v>654</v>
      </c>
      <c r="D184" s="120" t="s">
        <v>655</v>
      </c>
      <c r="E184" s="115">
        <v>2955920538</v>
      </c>
      <c r="F184" s="110">
        <v>6510700000</v>
      </c>
      <c r="G184" s="110" t="s">
        <v>656</v>
      </c>
      <c r="H184" s="110" t="s">
        <v>657</v>
      </c>
      <c r="I184" s="111" t="s">
        <v>658</v>
      </c>
      <c r="J184" s="109" t="s">
        <v>659</v>
      </c>
      <c r="K184" s="113" t="s">
        <v>1495</v>
      </c>
      <c r="L184" s="109" t="s">
        <v>660</v>
      </c>
      <c r="M184" s="112" t="s">
        <v>1496</v>
      </c>
      <c r="N184" s="109"/>
      <c r="O184" s="109" t="s">
        <v>8</v>
      </c>
      <c r="P184" s="114">
        <v>4.0800000000000003E-2</v>
      </c>
      <c r="Q184" s="107">
        <v>650.26</v>
      </c>
      <c r="R184" s="107">
        <v>265306.08</v>
      </c>
      <c r="S184" s="115" t="s">
        <v>661</v>
      </c>
      <c r="T184" s="369"/>
      <c r="U184" s="349">
        <v>8516.3799999999992</v>
      </c>
      <c r="V184" s="350">
        <f t="shared" ref="V184:V218" si="52">U184</f>
        <v>8516.3799999999992</v>
      </c>
      <c r="W184" s="350">
        <v>3.21</v>
      </c>
      <c r="X184" s="333">
        <f t="shared" si="50"/>
        <v>20.873480392156857</v>
      </c>
      <c r="Y184" s="333">
        <f t="shared" si="49"/>
        <v>709.69833333333327</v>
      </c>
      <c r="Z184" s="807">
        <v>2850</v>
      </c>
      <c r="AA184" s="711"/>
      <c r="AB184" s="340"/>
      <c r="AC184" s="406">
        <v>2850</v>
      </c>
      <c r="AD184" s="459"/>
      <c r="AE184" s="421"/>
      <c r="AF184" s="463"/>
      <c r="AG184" s="459"/>
      <c r="AH184" s="503"/>
      <c r="AI184" s="340"/>
      <c r="AJ184" s="740"/>
      <c r="AK184" s="741"/>
      <c r="AL184" s="732"/>
      <c r="AM184" s="340">
        <f t="shared" si="44"/>
        <v>5700</v>
      </c>
      <c r="AN184" s="340">
        <f t="shared" si="45"/>
        <v>2850</v>
      </c>
      <c r="AO184" s="468"/>
      <c r="AP184" s="333">
        <f t="shared" si="46"/>
        <v>66.929845779544834</v>
      </c>
      <c r="AQ184" s="521">
        <v>8550.4</v>
      </c>
      <c r="AR184" s="416">
        <v>100.39946550060003</v>
      </c>
      <c r="AS184" s="164" t="s">
        <v>2570</v>
      </c>
      <c r="AT184" s="118" t="s">
        <v>1759</v>
      </c>
      <c r="AU184" s="113" t="s">
        <v>1634</v>
      </c>
    </row>
    <row r="185" spans="1:48" ht="131.25" x14ac:dyDescent="0.25">
      <c r="A185" s="8">
        <v>168</v>
      </c>
      <c r="B185" s="115">
        <v>98</v>
      </c>
      <c r="C185" s="219" t="s">
        <v>662</v>
      </c>
      <c r="D185" s="246" t="s">
        <v>663</v>
      </c>
      <c r="E185" s="196">
        <v>2656301721</v>
      </c>
      <c r="F185" s="198">
        <v>6510700000</v>
      </c>
      <c r="G185" s="198" t="s">
        <v>664</v>
      </c>
      <c r="H185" s="198" t="s">
        <v>665</v>
      </c>
      <c r="I185" s="199" t="s">
        <v>3242</v>
      </c>
      <c r="J185" s="20" t="s">
        <v>666</v>
      </c>
      <c r="K185" s="13"/>
      <c r="L185" s="10" t="s">
        <v>667</v>
      </c>
      <c r="M185" s="20">
        <v>41691</v>
      </c>
      <c r="N185" s="20" t="s">
        <v>668</v>
      </c>
      <c r="O185" s="10" t="s">
        <v>8</v>
      </c>
      <c r="P185" s="27">
        <v>1.1999999999999999E-3</v>
      </c>
      <c r="Q185" s="12">
        <v>2043.2</v>
      </c>
      <c r="R185" s="12">
        <v>24518.399999999998</v>
      </c>
      <c r="S185" s="9" t="s">
        <v>669</v>
      </c>
      <c r="T185" s="368"/>
      <c r="U185" s="343">
        <f>R185*W185%</f>
        <v>2697.0239999999999</v>
      </c>
      <c r="V185" s="339">
        <f t="shared" si="52"/>
        <v>2697.0239999999999</v>
      </c>
      <c r="W185" s="339">
        <v>11</v>
      </c>
      <c r="X185" s="333">
        <f t="shared" si="50"/>
        <v>224.75200000000004</v>
      </c>
      <c r="Y185" s="333">
        <f t="shared" si="49"/>
        <v>224.75199999999998</v>
      </c>
      <c r="Z185" s="807"/>
      <c r="AA185" s="711"/>
      <c r="AB185" s="340"/>
      <c r="AC185" s="406">
        <v>674.25</v>
      </c>
      <c r="AD185" s="459"/>
      <c r="AE185" s="421"/>
      <c r="AF185" s="463"/>
      <c r="AG185" s="459"/>
      <c r="AH185" s="503"/>
      <c r="AI185" s="340"/>
      <c r="AJ185" s="740"/>
      <c r="AK185" s="741"/>
      <c r="AL185" s="732"/>
      <c r="AM185" s="340">
        <f t="shared" si="44"/>
        <v>674.25</v>
      </c>
      <c r="AN185" s="340">
        <f t="shared" si="45"/>
        <v>674.25</v>
      </c>
      <c r="AO185" s="468"/>
      <c r="AP185" s="333">
        <f t="shared" si="46"/>
        <v>24.999777532569233</v>
      </c>
      <c r="AQ185" s="192">
        <v>3371.27</v>
      </c>
      <c r="AR185" s="416">
        <v>124.99962922094872</v>
      </c>
      <c r="AS185" s="140">
        <v>43920</v>
      </c>
      <c r="AT185" s="11" t="s">
        <v>1752</v>
      </c>
      <c r="AU185" s="13" t="s">
        <v>1676</v>
      </c>
    </row>
    <row r="186" spans="1:48" ht="337.5" x14ac:dyDescent="0.25">
      <c r="A186" s="8">
        <v>169</v>
      </c>
      <c r="B186" s="115">
        <v>99</v>
      </c>
      <c r="C186" s="119" t="s">
        <v>2369</v>
      </c>
      <c r="D186" s="174" t="s">
        <v>2370</v>
      </c>
      <c r="E186" s="115" t="s">
        <v>2371</v>
      </c>
      <c r="F186" s="110">
        <v>6510700000</v>
      </c>
      <c r="G186" s="110" t="s">
        <v>2372</v>
      </c>
      <c r="H186" s="110" t="s">
        <v>2373</v>
      </c>
      <c r="I186" s="111" t="s">
        <v>2374</v>
      </c>
      <c r="J186" s="112" t="s">
        <v>2375</v>
      </c>
      <c r="K186" s="113" t="s">
        <v>2349</v>
      </c>
      <c r="L186" s="109" t="s">
        <v>2376</v>
      </c>
      <c r="M186" s="112">
        <v>43605</v>
      </c>
      <c r="N186" s="112"/>
      <c r="O186" s="109" t="s">
        <v>8</v>
      </c>
      <c r="P186" s="114">
        <v>3.6700000000000003E-2</v>
      </c>
      <c r="Q186" s="107">
        <f>R186/367</f>
        <v>256.66000000000003</v>
      </c>
      <c r="R186" s="107">
        <v>94194.22</v>
      </c>
      <c r="S186" s="115" t="s">
        <v>2377</v>
      </c>
      <c r="T186" s="369"/>
      <c r="U186" s="344">
        <f>R186*W186%</f>
        <v>470.97110000000004</v>
      </c>
      <c r="V186" s="344">
        <f t="shared" si="52"/>
        <v>470.97110000000004</v>
      </c>
      <c r="W186" s="344">
        <v>0.5</v>
      </c>
      <c r="X186" s="344">
        <f>U186/(P186*10000)</f>
        <v>1.2832999999999999</v>
      </c>
      <c r="Y186" s="344">
        <f t="shared" si="49"/>
        <v>39.247591666666672</v>
      </c>
      <c r="Z186" s="840"/>
      <c r="AA186" s="529"/>
      <c r="AB186" s="364"/>
      <c r="AC186" s="407"/>
      <c r="AD186" s="483"/>
      <c r="AE186" s="422"/>
      <c r="AF186" s="462"/>
      <c r="AG186" s="483"/>
      <c r="AH186" s="502"/>
      <c r="AI186" s="364"/>
      <c r="AJ186" s="751"/>
      <c r="AK186" s="529"/>
      <c r="AL186" s="756"/>
      <c r="AM186" s="340">
        <f t="shared" si="44"/>
        <v>0</v>
      </c>
      <c r="AN186" s="340">
        <f t="shared" si="45"/>
        <v>0</v>
      </c>
      <c r="AO186" s="468"/>
      <c r="AP186" s="344">
        <f t="shared" si="46"/>
        <v>0</v>
      </c>
      <c r="AQ186" s="521">
        <v>289.94</v>
      </c>
      <c r="AR186" s="523">
        <v>100</v>
      </c>
      <c r="AS186" s="164">
        <v>44648</v>
      </c>
      <c r="AT186" s="128" t="s">
        <v>2378</v>
      </c>
      <c r="AU186" s="113" t="s">
        <v>1824</v>
      </c>
    </row>
    <row r="187" spans="1:48" ht="150" x14ac:dyDescent="0.25">
      <c r="A187" s="8">
        <v>170</v>
      </c>
      <c r="B187" s="115">
        <v>100</v>
      </c>
      <c r="C187" s="98" t="s">
        <v>670</v>
      </c>
      <c r="D187" s="17" t="s">
        <v>671</v>
      </c>
      <c r="E187" s="9" t="s">
        <v>1497</v>
      </c>
      <c r="F187" s="19">
        <v>6510700000</v>
      </c>
      <c r="G187" s="19" t="s">
        <v>672</v>
      </c>
      <c r="H187" s="19" t="s">
        <v>673</v>
      </c>
      <c r="I187" s="75" t="s">
        <v>674</v>
      </c>
      <c r="J187" s="10" t="s">
        <v>675</v>
      </c>
      <c r="K187" s="13" t="s">
        <v>1498</v>
      </c>
      <c r="L187" s="10" t="s">
        <v>676</v>
      </c>
      <c r="M187" s="20" t="s">
        <v>1499</v>
      </c>
      <c r="N187" s="10"/>
      <c r="O187" s="10" t="s">
        <v>8</v>
      </c>
      <c r="P187" s="27">
        <v>3.1399999999999997E-2</v>
      </c>
      <c r="Q187" s="12">
        <v>2258.81</v>
      </c>
      <c r="R187" s="12">
        <v>709266.34</v>
      </c>
      <c r="S187" s="9" t="s">
        <v>677</v>
      </c>
      <c r="T187" s="368"/>
      <c r="U187" s="336">
        <f>R187*W187%</f>
        <v>74472.965700000001</v>
      </c>
      <c r="V187" s="339">
        <f t="shared" si="52"/>
        <v>74472.965700000001</v>
      </c>
      <c r="W187" s="332">
        <v>10.5</v>
      </c>
      <c r="X187" s="333">
        <f>V187/(P187*10000)</f>
        <v>237.17505</v>
      </c>
      <c r="Y187" s="333">
        <f t="shared" si="49"/>
        <v>6206.0804749999998</v>
      </c>
      <c r="Z187" s="807"/>
      <c r="AA187" s="711"/>
      <c r="AB187" s="340">
        <v>4730</v>
      </c>
      <c r="AC187" s="406"/>
      <c r="AD187" s="459"/>
      <c r="AE187" s="421"/>
      <c r="AF187" s="463"/>
      <c r="AG187" s="459"/>
      <c r="AH187" s="503"/>
      <c r="AI187" s="419"/>
      <c r="AJ187" s="740"/>
      <c r="AK187" s="741"/>
      <c r="AL187" s="732"/>
      <c r="AM187" s="340">
        <f t="shared" si="44"/>
        <v>4730</v>
      </c>
      <c r="AN187" s="340">
        <f t="shared" si="45"/>
        <v>4730</v>
      </c>
      <c r="AO187" s="468"/>
      <c r="AP187" s="333">
        <f t="shared" si="46"/>
        <v>6.3512980254524765</v>
      </c>
      <c r="AQ187" s="192">
        <v>61040</v>
      </c>
      <c r="AR187" s="416">
        <v>81.962628218524131</v>
      </c>
      <c r="AS187" s="140" t="s">
        <v>2543</v>
      </c>
      <c r="AT187" s="31" t="s">
        <v>1760</v>
      </c>
      <c r="AU187" s="13" t="s">
        <v>1634</v>
      </c>
    </row>
    <row r="188" spans="1:48" ht="150" x14ac:dyDescent="0.25">
      <c r="A188" s="8">
        <v>171</v>
      </c>
      <c r="B188" s="115">
        <v>101</v>
      </c>
      <c r="C188" s="108" t="s">
        <v>2541</v>
      </c>
      <c r="D188" s="113" t="s">
        <v>678</v>
      </c>
      <c r="E188" s="109">
        <v>1716710944</v>
      </c>
      <c r="F188" s="110">
        <v>6510700000</v>
      </c>
      <c r="G188" s="110" t="s">
        <v>679</v>
      </c>
      <c r="H188" s="110" t="s">
        <v>680</v>
      </c>
      <c r="I188" s="111" t="s">
        <v>3243</v>
      </c>
      <c r="J188" s="109" t="s">
        <v>681</v>
      </c>
      <c r="K188" s="113" t="s">
        <v>1500</v>
      </c>
      <c r="L188" s="109" t="s">
        <v>682</v>
      </c>
      <c r="M188" s="112" t="s">
        <v>1500</v>
      </c>
      <c r="N188" s="109" t="s">
        <v>3326</v>
      </c>
      <c r="O188" s="109" t="s">
        <v>8</v>
      </c>
      <c r="P188" s="114">
        <v>0.26129999999999998</v>
      </c>
      <c r="Q188" s="107">
        <v>369.36</v>
      </c>
      <c r="R188" s="107">
        <v>965137.67999999982</v>
      </c>
      <c r="S188" s="107" t="s">
        <v>683</v>
      </c>
      <c r="T188" s="369"/>
      <c r="U188" s="344">
        <f>R188*W188%</f>
        <v>77211.014399999985</v>
      </c>
      <c r="V188" s="344">
        <f t="shared" si="52"/>
        <v>77211.014399999985</v>
      </c>
      <c r="W188" s="344">
        <v>8</v>
      </c>
      <c r="X188" s="344">
        <f>V188/(P188*10000)</f>
        <v>29.5488</v>
      </c>
      <c r="Y188" s="344">
        <f t="shared" si="49"/>
        <v>6434.2511999999988</v>
      </c>
      <c r="Z188" s="840"/>
      <c r="AA188" s="529">
        <v>6435</v>
      </c>
      <c r="AB188" s="364">
        <v>6435</v>
      </c>
      <c r="AC188" s="407">
        <v>522</v>
      </c>
      <c r="AD188" s="483"/>
      <c r="AE188" s="364"/>
      <c r="AF188" s="529"/>
      <c r="AG188" s="364"/>
      <c r="AH188" s="364"/>
      <c r="AI188" s="364"/>
      <c r="AJ188" s="762"/>
      <c r="AK188" s="529"/>
      <c r="AL188" s="756"/>
      <c r="AM188" s="340">
        <f t="shared" si="44"/>
        <v>13392</v>
      </c>
      <c r="AN188" s="340">
        <f t="shared" si="45"/>
        <v>13392</v>
      </c>
      <c r="AO188" s="468"/>
      <c r="AP188" s="344">
        <f t="shared" si="46"/>
        <v>17.344675632185456</v>
      </c>
      <c r="AQ188" s="107">
        <v>71477.5</v>
      </c>
      <c r="AR188" s="230">
        <v>92.574227337181583</v>
      </c>
      <c r="AS188" s="164" t="s">
        <v>2542</v>
      </c>
      <c r="AT188" s="128" t="s">
        <v>3327</v>
      </c>
      <c r="AU188" s="113" t="s">
        <v>1679</v>
      </c>
    </row>
    <row r="189" spans="1:48" ht="262.5" x14ac:dyDescent="0.25">
      <c r="A189" s="8">
        <v>172</v>
      </c>
      <c r="B189" s="8">
        <v>102</v>
      </c>
      <c r="C189" s="264" t="s">
        <v>3039</v>
      </c>
      <c r="D189" s="267" t="s">
        <v>3040</v>
      </c>
      <c r="E189" s="265">
        <v>3059321033</v>
      </c>
      <c r="F189" s="270">
        <v>6510700000</v>
      </c>
      <c r="G189" s="270" t="s">
        <v>3041</v>
      </c>
      <c r="H189" s="270" t="s">
        <v>3042</v>
      </c>
      <c r="I189" s="271" t="s">
        <v>3043</v>
      </c>
      <c r="J189" s="265" t="s">
        <v>3045</v>
      </c>
      <c r="K189" s="267" t="s">
        <v>3023</v>
      </c>
      <c r="L189" s="265" t="s">
        <v>3044</v>
      </c>
      <c r="M189" s="283">
        <v>43759</v>
      </c>
      <c r="N189" s="265"/>
      <c r="O189" s="265" t="s">
        <v>8</v>
      </c>
      <c r="P189" s="268">
        <v>0.1817</v>
      </c>
      <c r="Q189" s="269">
        <f>R189/1817</f>
        <v>318.02</v>
      </c>
      <c r="R189" s="269">
        <v>577842.34</v>
      </c>
      <c r="S189" s="269" t="s">
        <v>3046</v>
      </c>
      <c r="T189" s="374">
        <v>19068.87</v>
      </c>
      <c r="U189" s="349">
        <v>19068.87</v>
      </c>
      <c r="V189" s="349">
        <f t="shared" si="52"/>
        <v>19068.87</v>
      </c>
      <c r="W189" s="349">
        <f>U189*100/R189</f>
        <v>3.3000125951310526</v>
      </c>
      <c r="X189" s="349">
        <f>U189/(P189*10000)</f>
        <v>10.494700055035773</v>
      </c>
      <c r="Y189" s="333">
        <f t="shared" si="49"/>
        <v>1589.0725</v>
      </c>
      <c r="Z189" s="840"/>
      <c r="AA189" s="475"/>
      <c r="AB189" s="410">
        <f>1589.07+3600</f>
        <v>5189.07</v>
      </c>
      <c r="AC189" s="408"/>
      <c r="AD189" s="486"/>
      <c r="AE189" s="410"/>
      <c r="AF189" s="475"/>
      <c r="AG189" s="410"/>
      <c r="AH189" s="410"/>
      <c r="AI189" s="410"/>
      <c r="AJ189" s="560"/>
      <c r="AK189" s="475"/>
      <c r="AL189" s="561"/>
      <c r="AM189" s="340">
        <f t="shared" si="44"/>
        <v>5189.07</v>
      </c>
      <c r="AN189" s="340">
        <f t="shared" si="45"/>
        <v>5189.07</v>
      </c>
      <c r="AO189" s="468"/>
      <c r="AP189" s="349">
        <f t="shared" si="46"/>
        <v>27.212257464653124</v>
      </c>
      <c r="AQ189" s="690">
        <v>3742</v>
      </c>
      <c r="AR189" s="695">
        <v>100</v>
      </c>
      <c r="AS189" s="310">
        <v>45566</v>
      </c>
      <c r="AT189" s="313" t="s">
        <v>3047</v>
      </c>
      <c r="AU189" s="267" t="s">
        <v>3048</v>
      </c>
      <c r="AV189" s="242" t="s">
        <v>2379</v>
      </c>
    </row>
    <row r="190" spans="1:48" ht="243.75" x14ac:dyDescent="0.25">
      <c r="A190" s="8">
        <v>173</v>
      </c>
      <c r="B190" s="530"/>
      <c r="C190" s="264" t="s">
        <v>3039</v>
      </c>
      <c r="D190" s="267" t="s">
        <v>3040</v>
      </c>
      <c r="E190" s="265">
        <v>3059321033</v>
      </c>
      <c r="F190" s="270">
        <v>6510700000</v>
      </c>
      <c r="G190" s="270" t="s">
        <v>3050</v>
      </c>
      <c r="H190" s="270" t="s">
        <v>3051</v>
      </c>
      <c r="I190" s="271" t="s">
        <v>3052</v>
      </c>
      <c r="J190" s="265" t="s">
        <v>3053</v>
      </c>
      <c r="K190" s="267" t="s">
        <v>3055</v>
      </c>
      <c r="L190" s="265" t="s">
        <v>3054</v>
      </c>
      <c r="M190" s="283" t="s">
        <v>3056</v>
      </c>
      <c r="N190" s="265"/>
      <c r="O190" s="265" t="s">
        <v>8</v>
      </c>
      <c r="P190" s="268">
        <v>0.7</v>
      </c>
      <c r="Q190" s="269">
        <f>R190/7000</f>
        <v>311.72000000000003</v>
      </c>
      <c r="R190" s="269">
        <v>2182040</v>
      </c>
      <c r="S190" s="269" t="s">
        <v>3057</v>
      </c>
      <c r="T190" s="374">
        <v>66115.820000000007</v>
      </c>
      <c r="U190" s="349">
        <v>66115.820000000007</v>
      </c>
      <c r="V190" s="349">
        <f t="shared" si="52"/>
        <v>66115.820000000007</v>
      </c>
      <c r="W190" s="349">
        <v>3.0449999999999999</v>
      </c>
      <c r="X190" s="349">
        <f>U190/(P190*10000)</f>
        <v>9.4451171428571445</v>
      </c>
      <c r="Y190" s="333">
        <f t="shared" si="49"/>
        <v>5509.6516666666676</v>
      </c>
      <c r="Z190" s="840"/>
      <c r="AA190" s="475"/>
      <c r="AB190" s="410">
        <f>5509.65+4210</f>
        <v>9719.65</v>
      </c>
      <c r="AC190" s="408"/>
      <c r="AD190" s="486"/>
      <c r="AE190" s="410"/>
      <c r="AF190" s="475"/>
      <c r="AG190" s="410"/>
      <c r="AH190" s="408"/>
      <c r="AI190" s="410"/>
      <c r="AJ190" s="560"/>
      <c r="AK190" s="475"/>
      <c r="AL190" s="561"/>
      <c r="AM190" s="340">
        <f t="shared" si="44"/>
        <v>9719.65</v>
      </c>
      <c r="AN190" s="340">
        <f t="shared" si="45"/>
        <v>9719.65</v>
      </c>
      <c r="AO190" s="468"/>
      <c r="AP190" s="349">
        <f t="shared" si="46"/>
        <v>14.700944494071161</v>
      </c>
      <c r="AQ190" s="690">
        <v>12976.06</v>
      </c>
      <c r="AR190" s="695">
        <v>100.01325693638366</v>
      </c>
      <c r="AS190" s="310">
        <v>45555</v>
      </c>
      <c r="AT190" s="313" t="s">
        <v>3058</v>
      </c>
      <c r="AU190" s="267" t="s">
        <v>3048</v>
      </c>
      <c r="AV190" s="325" t="s">
        <v>3049</v>
      </c>
    </row>
    <row r="191" spans="1:48" ht="300" x14ac:dyDescent="0.25">
      <c r="A191" s="8">
        <v>174</v>
      </c>
      <c r="B191" s="530">
        <v>103</v>
      </c>
      <c r="C191" s="108" t="s">
        <v>2272</v>
      </c>
      <c r="D191" s="113" t="s">
        <v>2273</v>
      </c>
      <c r="E191" s="109" t="s">
        <v>2271</v>
      </c>
      <c r="F191" s="110">
        <v>6510700000</v>
      </c>
      <c r="G191" s="110" t="s">
        <v>3429</v>
      </c>
      <c r="H191" s="110" t="s">
        <v>2274</v>
      </c>
      <c r="I191" s="111" t="s">
        <v>2138</v>
      </c>
      <c r="J191" s="109" t="s">
        <v>2275</v>
      </c>
      <c r="K191" s="113" t="s">
        <v>2092</v>
      </c>
      <c r="L191" s="109" t="s">
        <v>2276</v>
      </c>
      <c r="M191" s="112" t="s">
        <v>2277</v>
      </c>
      <c r="N191" s="109"/>
      <c r="O191" s="109" t="s">
        <v>8</v>
      </c>
      <c r="P191" s="114">
        <v>4.8500000000000001E-2</v>
      </c>
      <c r="Q191" s="107">
        <f>R191/485</f>
        <v>1260.8900000000001</v>
      </c>
      <c r="R191" s="107">
        <v>611531.65</v>
      </c>
      <c r="S191" s="107" t="s">
        <v>2278</v>
      </c>
      <c r="T191" s="369"/>
      <c r="U191" s="353">
        <f>R191*W191%</f>
        <v>64210.823250000001</v>
      </c>
      <c r="V191" s="353">
        <f t="shared" si="52"/>
        <v>64210.823250000001</v>
      </c>
      <c r="W191" s="353">
        <v>10.5</v>
      </c>
      <c r="X191" s="345">
        <f>U191/(P191*10000)</f>
        <v>132.39345</v>
      </c>
      <c r="Y191" s="345">
        <f t="shared" si="49"/>
        <v>5350.9019374999998</v>
      </c>
      <c r="Z191" s="807"/>
      <c r="AA191" s="852">
        <v>35446.5</v>
      </c>
      <c r="AB191" s="359">
        <f>2932.86+2932.86</f>
        <v>5865.72</v>
      </c>
      <c r="AC191" s="407"/>
      <c r="AD191" s="483"/>
      <c r="AE191" s="422"/>
      <c r="AF191" s="462"/>
      <c r="AG191" s="483"/>
      <c r="AH191" s="502"/>
      <c r="AI191" s="359"/>
      <c r="AJ191" s="751"/>
      <c r="AK191" s="529"/>
      <c r="AL191" s="752"/>
      <c r="AM191" s="340">
        <f t="shared" si="44"/>
        <v>41312.22</v>
      </c>
      <c r="AN191" s="340">
        <f t="shared" si="45"/>
        <v>41312.22</v>
      </c>
      <c r="AO191" s="468"/>
      <c r="AP191" s="345">
        <f t="shared" si="46"/>
        <v>64.338405753114216</v>
      </c>
      <c r="AQ191" s="521">
        <v>27149.250000000004</v>
      </c>
      <c r="AR191" s="523">
        <v>57.0086813076284</v>
      </c>
      <c r="AS191" s="164" t="s">
        <v>2544</v>
      </c>
      <c r="AT191" s="128" t="s">
        <v>2279</v>
      </c>
      <c r="AU191" s="113" t="s">
        <v>1634</v>
      </c>
    </row>
    <row r="192" spans="1:48" ht="131.25" x14ac:dyDescent="0.25">
      <c r="A192" s="8">
        <v>175</v>
      </c>
      <c r="B192" s="115">
        <v>104</v>
      </c>
      <c r="C192" s="96" t="s">
        <v>2794</v>
      </c>
      <c r="D192" s="10" t="s">
        <v>685</v>
      </c>
      <c r="E192" s="9">
        <v>2034602807</v>
      </c>
      <c r="F192" s="9">
        <v>6510700000</v>
      </c>
      <c r="G192" s="9" t="s">
        <v>684</v>
      </c>
      <c r="H192" s="9" t="s">
        <v>685</v>
      </c>
      <c r="I192" s="13"/>
      <c r="J192" s="13" t="s">
        <v>2822</v>
      </c>
      <c r="K192" s="13"/>
      <c r="L192" s="13" t="s">
        <v>1502</v>
      </c>
      <c r="M192" s="20" t="s">
        <v>1501</v>
      </c>
      <c r="N192" s="13"/>
      <c r="O192" s="10" t="s">
        <v>8</v>
      </c>
      <c r="P192" s="27">
        <v>5.3699999999999998E-2</v>
      </c>
      <c r="Q192" s="12">
        <v>473.03</v>
      </c>
      <c r="R192" s="12">
        <v>254017.11</v>
      </c>
      <c r="S192" s="12"/>
      <c r="T192" s="368"/>
      <c r="U192" s="336">
        <f>R192*W192%</f>
        <v>136.40718806999999</v>
      </c>
      <c r="V192" s="339">
        <f t="shared" si="52"/>
        <v>136.40718806999999</v>
      </c>
      <c r="W192" s="332">
        <v>5.3699999999999998E-2</v>
      </c>
      <c r="X192" s="333">
        <f>V192/(P192*10000)</f>
        <v>0.25401710999999999</v>
      </c>
      <c r="Y192" s="333">
        <f t="shared" si="49"/>
        <v>11.367265672499999</v>
      </c>
      <c r="Z192" s="807"/>
      <c r="AA192" s="711"/>
      <c r="AB192" s="340"/>
      <c r="AC192" s="406"/>
      <c r="AD192" s="459"/>
      <c r="AE192" s="421"/>
      <c r="AF192" s="463"/>
      <c r="AG192" s="459"/>
      <c r="AH192" s="503"/>
      <c r="AI192" s="340"/>
      <c r="AJ192" s="740"/>
      <c r="AK192" s="741"/>
      <c r="AL192" s="732"/>
      <c r="AM192" s="340">
        <f t="shared" si="44"/>
        <v>0</v>
      </c>
      <c r="AN192" s="340">
        <f t="shared" si="45"/>
        <v>0</v>
      </c>
      <c r="AO192" s="468"/>
      <c r="AP192" s="333">
        <f t="shared" si="46"/>
        <v>0</v>
      </c>
      <c r="AQ192" s="192">
        <v>0</v>
      </c>
      <c r="AR192" s="416">
        <v>0</v>
      </c>
      <c r="AS192" s="140">
        <v>43086</v>
      </c>
      <c r="AT192" s="11" t="s">
        <v>1761</v>
      </c>
      <c r="AU192" s="13"/>
    </row>
    <row r="193" spans="1:48" ht="187.5" x14ac:dyDescent="0.25">
      <c r="A193" s="8">
        <v>176</v>
      </c>
      <c r="B193" s="115">
        <v>105</v>
      </c>
      <c r="C193" s="264" t="s">
        <v>686</v>
      </c>
      <c r="D193" s="265" t="s">
        <v>687</v>
      </c>
      <c r="E193" s="266">
        <v>2641512468</v>
      </c>
      <c r="F193" s="266">
        <v>6510700000</v>
      </c>
      <c r="G193" s="266" t="s">
        <v>688</v>
      </c>
      <c r="H193" s="266" t="s">
        <v>689</v>
      </c>
      <c r="I193" s="267" t="s">
        <v>690</v>
      </c>
      <c r="J193" s="267" t="s">
        <v>691</v>
      </c>
      <c r="K193" s="267" t="s">
        <v>692</v>
      </c>
      <c r="L193" s="267" t="s">
        <v>693</v>
      </c>
      <c r="M193" s="283" t="s">
        <v>694</v>
      </c>
      <c r="N193" s="267"/>
      <c r="O193" s="265" t="s">
        <v>8</v>
      </c>
      <c r="P193" s="268">
        <v>6.4000000000000003E-3</v>
      </c>
      <c r="Q193" s="269">
        <v>826.52</v>
      </c>
      <c r="R193" s="269">
        <v>52897.279999999999</v>
      </c>
      <c r="S193" s="269" t="s">
        <v>695</v>
      </c>
      <c r="T193" s="374"/>
      <c r="U193" s="349">
        <v>5977.42</v>
      </c>
      <c r="V193" s="350">
        <f t="shared" si="52"/>
        <v>5977.42</v>
      </c>
      <c r="W193" s="350">
        <v>11.3</v>
      </c>
      <c r="X193" s="349">
        <f>V193/(P193*10000)</f>
        <v>93.397187500000001</v>
      </c>
      <c r="Y193" s="349">
        <f t="shared" si="49"/>
        <v>498.11833333333334</v>
      </c>
      <c r="Z193" s="807"/>
      <c r="AA193" s="711"/>
      <c r="AB193" s="340">
        <v>233.4</v>
      </c>
      <c r="AC193" s="406">
        <v>498.12</v>
      </c>
      <c r="AD193" s="459">
        <v>498.12</v>
      </c>
      <c r="AE193" s="421"/>
      <c r="AF193" s="463"/>
      <c r="AG193" s="459"/>
      <c r="AH193" s="503"/>
      <c r="AI193" s="340"/>
      <c r="AJ193" s="740"/>
      <c r="AK193" s="741"/>
      <c r="AL193" s="732"/>
      <c r="AM193" s="340">
        <f t="shared" si="44"/>
        <v>1229.6399999999999</v>
      </c>
      <c r="AN193" s="340">
        <f t="shared" si="45"/>
        <v>1229.6399999999999</v>
      </c>
      <c r="AO193" s="468"/>
      <c r="AP193" s="333">
        <f t="shared" si="46"/>
        <v>20.571417099685146</v>
      </c>
      <c r="AQ193" s="192">
        <v>5977.44</v>
      </c>
      <c r="AR193" s="416">
        <v>100.00033459251651</v>
      </c>
      <c r="AS193" s="164" t="s">
        <v>2911</v>
      </c>
      <c r="AT193" s="125" t="s">
        <v>1762</v>
      </c>
      <c r="AU193" s="113" t="s">
        <v>1634</v>
      </c>
    </row>
    <row r="194" spans="1:48" ht="187.5" x14ac:dyDescent="0.25">
      <c r="A194" s="8">
        <v>177</v>
      </c>
      <c r="B194" s="266">
        <v>106</v>
      </c>
      <c r="C194" s="264" t="s">
        <v>2758</v>
      </c>
      <c r="D194" s="265" t="s">
        <v>2759</v>
      </c>
      <c r="E194" s="266">
        <v>2037301794</v>
      </c>
      <c r="F194" s="266">
        <v>6510700000</v>
      </c>
      <c r="G194" s="266" t="s">
        <v>2760</v>
      </c>
      <c r="H194" s="266" t="s">
        <v>2761</v>
      </c>
      <c r="I194" s="267" t="s">
        <v>2762</v>
      </c>
      <c r="J194" s="267" t="s">
        <v>2763</v>
      </c>
      <c r="K194" s="267" t="s">
        <v>2754</v>
      </c>
      <c r="L194" s="267" t="s">
        <v>2764</v>
      </c>
      <c r="M194" s="283" t="s">
        <v>2765</v>
      </c>
      <c r="N194" s="267"/>
      <c r="O194" s="265" t="s">
        <v>8</v>
      </c>
      <c r="P194" s="268">
        <v>1.8E-3</v>
      </c>
      <c r="Q194" s="269">
        <f>R194/18</f>
        <v>1329.64</v>
      </c>
      <c r="R194" s="269">
        <v>23933.52</v>
      </c>
      <c r="S194" s="269" t="s">
        <v>2766</v>
      </c>
      <c r="T194" s="374">
        <v>3003.82</v>
      </c>
      <c r="U194" s="349">
        <v>3003.82</v>
      </c>
      <c r="V194" s="350">
        <f t="shared" si="52"/>
        <v>3003.82</v>
      </c>
      <c r="W194" s="350">
        <v>12.551</v>
      </c>
      <c r="X194" s="349">
        <f>U194/(P194*10000)</f>
        <v>166.87888888888889</v>
      </c>
      <c r="Y194" s="349">
        <f t="shared" si="49"/>
        <v>250.31833333333336</v>
      </c>
      <c r="Z194" s="807"/>
      <c r="AA194" s="711"/>
      <c r="AB194" s="340"/>
      <c r="AC194" s="406">
        <v>1000</v>
      </c>
      <c r="AD194" s="459"/>
      <c r="AE194" s="421"/>
      <c r="AF194" s="463"/>
      <c r="AG194" s="488"/>
      <c r="AH194" s="503"/>
      <c r="AI194" s="340"/>
      <c r="AJ194" s="740"/>
      <c r="AK194" s="741"/>
      <c r="AL194" s="732"/>
      <c r="AM194" s="340">
        <f t="shared" si="44"/>
        <v>1000</v>
      </c>
      <c r="AN194" s="340">
        <f t="shared" si="45"/>
        <v>1000</v>
      </c>
      <c r="AO194" s="468"/>
      <c r="AP194" s="333">
        <f t="shared" si="46"/>
        <v>33.290942866083853</v>
      </c>
      <c r="AQ194" s="690">
        <v>1215.82</v>
      </c>
      <c r="AR194" s="695">
        <v>111.3582033503998</v>
      </c>
      <c r="AS194" s="310">
        <v>45513</v>
      </c>
      <c r="AT194" s="377" t="s">
        <v>1762</v>
      </c>
      <c r="AU194" s="267" t="s">
        <v>1634</v>
      </c>
    </row>
    <row r="195" spans="1:48" ht="187.5" x14ac:dyDescent="0.25">
      <c r="A195" s="8">
        <v>179</v>
      </c>
      <c r="B195" s="115">
        <v>108</v>
      </c>
      <c r="C195" s="108" t="s">
        <v>702</v>
      </c>
      <c r="D195" s="109" t="s">
        <v>703</v>
      </c>
      <c r="E195" s="115">
        <v>2936301102</v>
      </c>
      <c r="F195" s="115">
        <v>6510700000</v>
      </c>
      <c r="G195" s="115" t="s">
        <v>704</v>
      </c>
      <c r="H195" s="115" t="s">
        <v>705</v>
      </c>
      <c r="I195" s="113" t="s">
        <v>236</v>
      </c>
      <c r="J195" s="113" t="s">
        <v>706</v>
      </c>
      <c r="K195" s="113" t="s">
        <v>2771</v>
      </c>
      <c r="L195" s="113" t="s">
        <v>707</v>
      </c>
      <c r="M195" s="112" t="s">
        <v>1504</v>
      </c>
      <c r="N195" s="113"/>
      <c r="O195" s="109" t="s">
        <v>8</v>
      </c>
      <c r="P195" s="114">
        <v>1.1999999999999999E-3</v>
      </c>
      <c r="Q195" s="107">
        <v>2043.2</v>
      </c>
      <c r="R195" s="107">
        <v>24518.400000000001</v>
      </c>
      <c r="S195" s="107" t="s">
        <v>708</v>
      </c>
      <c r="T195" s="369"/>
      <c r="U195" s="336">
        <f>R195*W195%</f>
        <v>2697.0240000000003</v>
      </c>
      <c r="V195" s="333">
        <f t="shared" si="52"/>
        <v>2697.0240000000003</v>
      </c>
      <c r="W195" s="333">
        <v>11</v>
      </c>
      <c r="X195" s="333">
        <f>V195/(P195*10000)</f>
        <v>224.75200000000007</v>
      </c>
      <c r="Y195" s="333">
        <f t="shared" si="49"/>
        <v>224.75200000000004</v>
      </c>
      <c r="Z195" s="807"/>
      <c r="AA195" s="711"/>
      <c r="AB195" s="340"/>
      <c r="AC195" s="406"/>
      <c r="AD195" s="459"/>
      <c r="AE195" s="421"/>
      <c r="AF195" s="463"/>
      <c r="AG195" s="459"/>
      <c r="AH195" s="503"/>
      <c r="AI195" s="340"/>
      <c r="AJ195" s="740"/>
      <c r="AK195" s="741"/>
      <c r="AL195" s="732"/>
      <c r="AM195" s="340">
        <f t="shared" si="44"/>
        <v>0</v>
      </c>
      <c r="AN195" s="340">
        <f t="shared" si="45"/>
        <v>0</v>
      </c>
      <c r="AO195" s="468"/>
      <c r="AP195" s="333">
        <f t="shared" si="46"/>
        <v>0</v>
      </c>
      <c r="AQ195" s="521">
        <v>4441.6000000000004</v>
      </c>
      <c r="AR195" s="416">
        <v>164.68522341662515</v>
      </c>
      <c r="AS195" s="164" t="s">
        <v>2546</v>
      </c>
      <c r="AT195" s="125" t="s">
        <v>1752</v>
      </c>
      <c r="AU195" s="113" t="s">
        <v>1634</v>
      </c>
    </row>
    <row r="196" spans="1:48" ht="150" x14ac:dyDescent="0.25">
      <c r="A196" s="8">
        <v>180</v>
      </c>
      <c r="B196" s="115">
        <v>109</v>
      </c>
      <c r="C196" s="108" t="s">
        <v>2289</v>
      </c>
      <c r="D196" s="109" t="s">
        <v>2290</v>
      </c>
      <c r="E196" s="115">
        <v>2161602414</v>
      </c>
      <c r="F196" s="115">
        <v>6510700000</v>
      </c>
      <c r="G196" s="115" t="s">
        <v>2292</v>
      </c>
      <c r="H196" s="115" t="s">
        <v>2293</v>
      </c>
      <c r="I196" s="113" t="s">
        <v>2294</v>
      </c>
      <c r="J196" s="113" t="s">
        <v>2295</v>
      </c>
      <c r="K196" s="113" t="s">
        <v>2296</v>
      </c>
      <c r="L196" s="113" t="s">
        <v>2297</v>
      </c>
      <c r="M196" s="112">
        <v>43567</v>
      </c>
      <c r="N196" s="113"/>
      <c r="O196" s="109" t="s">
        <v>8</v>
      </c>
      <c r="P196" s="114">
        <v>9.3399999999999997E-2</v>
      </c>
      <c r="Q196" s="107">
        <f>R196/934</f>
        <v>2078.11</v>
      </c>
      <c r="R196" s="107">
        <v>1940954.74</v>
      </c>
      <c r="S196" s="107" t="s">
        <v>2298</v>
      </c>
      <c r="T196" s="369">
        <v>26688.13</v>
      </c>
      <c r="U196" s="336">
        <v>26688.13</v>
      </c>
      <c r="V196" s="333">
        <f t="shared" si="52"/>
        <v>26688.13</v>
      </c>
      <c r="W196" s="333">
        <v>1.375</v>
      </c>
      <c r="X196" s="333">
        <f>U196/(P196*10000)</f>
        <v>28.574014989293364</v>
      </c>
      <c r="Y196" s="333">
        <f t="shared" si="49"/>
        <v>2224.0108333333333</v>
      </c>
      <c r="Z196" s="807"/>
      <c r="AA196" s="711">
        <v>4454.2</v>
      </c>
      <c r="AB196" s="340">
        <v>2227.1</v>
      </c>
      <c r="AC196" s="1084">
        <v>2227.1</v>
      </c>
      <c r="AD196" s="459"/>
      <c r="AE196" s="421"/>
      <c r="AF196" s="463"/>
      <c r="AG196" s="459"/>
      <c r="AH196" s="503"/>
      <c r="AI196" s="340"/>
      <c r="AJ196" s="740"/>
      <c r="AK196" s="741"/>
      <c r="AL196" s="732"/>
      <c r="AM196" s="340">
        <f t="shared" si="44"/>
        <v>8908.4</v>
      </c>
      <c r="AN196" s="340">
        <f t="shared" si="45"/>
        <v>8908.4</v>
      </c>
      <c r="AO196" s="468"/>
      <c r="AP196" s="333">
        <f t="shared" si="46"/>
        <v>33.379633567432414</v>
      </c>
      <c r="AQ196" s="521">
        <v>19200.89</v>
      </c>
      <c r="AR196" s="416">
        <v>100.00140620459132</v>
      </c>
      <c r="AS196" s="164" t="s">
        <v>2503</v>
      </c>
      <c r="AT196" s="125" t="s">
        <v>2299</v>
      </c>
      <c r="AU196" s="113" t="s">
        <v>1634</v>
      </c>
    </row>
    <row r="197" spans="1:48" ht="300" x14ac:dyDescent="0.3">
      <c r="A197" s="8"/>
      <c r="B197" s="115"/>
      <c r="C197" s="108" t="s">
        <v>3547</v>
      </c>
      <c r="D197" s="109" t="s">
        <v>3548</v>
      </c>
      <c r="E197" s="115">
        <v>3482013538</v>
      </c>
      <c r="F197" s="115">
        <v>6510700000</v>
      </c>
      <c r="G197" s="115" t="s">
        <v>1168</v>
      </c>
      <c r="H197" s="115" t="s">
        <v>1169</v>
      </c>
      <c r="I197" s="113" t="s">
        <v>3549</v>
      </c>
      <c r="J197" s="113" t="s">
        <v>3551</v>
      </c>
      <c r="K197" s="113" t="s">
        <v>3552</v>
      </c>
      <c r="L197" s="113" t="s">
        <v>3550</v>
      </c>
      <c r="M197" s="112">
        <v>43927</v>
      </c>
      <c r="N197" s="113"/>
      <c r="O197" s="109" t="s">
        <v>8</v>
      </c>
      <c r="P197" s="114">
        <v>0.1812</v>
      </c>
      <c r="Q197" s="107">
        <v>208.16</v>
      </c>
      <c r="R197" s="107">
        <v>377185.92</v>
      </c>
      <c r="S197" s="107" t="s">
        <v>3553</v>
      </c>
      <c r="T197" s="369"/>
      <c r="U197" s="336">
        <f>R197*W197%</f>
        <v>30174.873599999999</v>
      </c>
      <c r="V197" s="333">
        <v>22212.04</v>
      </c>
      <c r="W197" s="333">
        <v>8</v>
      </c>
      <c r="X197" s="333">
        <f>U197/(P197*10000)</f>
        <v>16.652799999999999</v>
      </c>
      <c r="Y197" s="333">
        <f t="shared" si="49"/>
        <v>1851.0033333333333</v>
      </c>
      <c r="Z197" s="807"/>
      <c r="AA197" s="711"/>
      <c r="AB197" s="340"/>
      <c r="AC197" s="409"/>
      <c r="AD197" s="459"/>
      <c r="AE197" s="421"/>
      <c r="AF197" s="463"/>
      <c r="AG197" s="459"/>
      <c r="AH197" s="503"/>
      <c r="AI197" s="340"/>
      <c r="AJ197" s="740"/>
      <c r="AK197" s="741"/>
      <c r="AL197" s="732"/>
      <c r="AM197" s="340">
        <v>0</v>
      </c>
      <c r="AN197" s="340">
        <v>0</v>
      </c>
      <c r="AO197" s="468"/>
      <c r="AP197" s="333">
        <v>0</v>
      </c>
      <c r="AQ197" s="521" t="s">
        <v>1887</v>
      </c>
      <c r="AR197" s="416" t="s">
        <v>1887</v>
      </c>
      <c r="AS197" s="164">
        <v>44970</v>
      </c>
      <c r="AT197" s="125" t="s">
        <v>3554</v>
      </c>
      <c r="AU197" s="113" t="s">
        <v>1639</v>
      </c>
    </row>
    <row r="198" spans="1:48" ht="150" x14ac:dyDescent="0.25">
      <c r="A198" s="8">
        <v>181</v>
      </c>
      <c r="B198" s="115">
        <v>110</v>
      </c>
      <c r="C198" s="108" t="s">
        <v>2073</v>
      </c>
      <c r="D198" s="109" t="s">
        <v>2074</v>
      </c>
      <c r="E198" s="115">
        <v>2689921307</v>
      </c>
      <c r="F198" s="115">
        <v>6510700000</v>
      </c>
      <c r="G198" s="115" t="s">
        <v>709</v>
      </c>
      <c r="H198" s="115" t="s">
        <v>2340</v>
      </c>
      <c r="I198" s="113"/>
      <c r="J198" s="113" t="s">
        <v>2339</v>
      </c>
      <c r="K198" s="113"/>
      <c r="L198" s="113" t="s">
        <v>2341</v>
      </c>
      <c r="M198" s="112" t="s">
        <v>710</v>
      </c>
      <c r="N198" s="113" t="s">
        <v>2329</v>
      </c>
      <c r="O198" s="133" t="s">
        <v>8</v>
      </c>
      <c r="P198" s="114">
        <v>2.3E-3</v>
      </c>
      <c r="Q198" s="107">
        <v>2043.2</v>
      </c>
      <c r="R198" s="107">
        <f>Q198*23</f>
        <v>46993.599999999999</v>
      </c>
      <c r="S198" s="115" t="s">
        <v>2075</v>
      </c>
      <c r="T198" s="369"/>
      <c r="U198" s="344">
        <f>R198*W198%</f>
        <v>5169.2960000000003</v>
      </c>
      <c r="V198" s="345">
        <f t="shared" si="52"/>
        <v>5169.2960000000003</v>
      </c>
      <c r="W198" s="345">
        <v>11</v>
      </c>
      <c r="X198" s="345">
        <f>V198/(P198*10000)</f>
        <v>224.75200000000001</v>
      </c>
      <c r="Y198" s="333">
        <f t="shared" si="49"/>
        <v>430.77466666666669</v>
      </c>
      <c r="Z198" s="807"/>
      <c r="AA198" s="711"/>
      <c r="AB198" s="340">
        <v>5898.39</v>
      </c>
      <c r="AC198" s="406"/>
      <c r="AD198" s="459"/>
      <c r="AE198" s="421"/>
      <c r="AF198" s="463"/>
      <c r="AG198" s="459"/>
      <c r="AH198" s="503"/>
      <c r="AI198" s="340"/>
      <c r="AJ198" s="740"/>
      <c r="AK198" s="741"/>
      <c r="AL198" s="732"/>
      <c r="AM198" s="340">
        <f t="shared" si="44"/>
        <v>5898.39</v>
      </c>
      <c r="AN198" s="340">
        <f t="shared" si="45"/>
        <v>5898.39</v>
      </c>
      <c r="AO198" s="468"/>
      <c r="AP198" s="333">
        <f t="shared" si="46"/>
        <v>114.1043190407359</v>
      </c>
      <c r="AQ198" s="521">
        <v>9784.1299999999992</v>
      </c>
      <c r="AR198" s="523">
        <v>189.27393594795109</v>
      </c>
      <c r="AS198" s="164" t="s">
        <v>2547</v>
      </c>
      <c r="AT198" s="125" t="s">
        <v>1752</v>
      </c>
      <c r="AU198" s="113" t="s">
        <v>1634</v>
      </c>
    </row>
    <row r="199" spans="1:48" ht="150" x14ac:dyDescent="0.25">
      <c r="A199" s="8">
        <v>182</v>
      </c>
      <c r="B199" s="115"/>
      <c r="C199" s="108" t="s">
        <v>2073</v>
      </c>
      <c r="D199" s="109" t="s">
        <v>2074</v>
      </c>
      <c r="E199" s="115">
        <v>2689921307</v>
      </c>
      <c r="F199" s="110">
        <v>6510700000</v>
      </c>
      <c r="G199" s="110" t="s">
        <v>1333</v>
      </c>
      <c r="H199" s="110" t="s">
        <v>2137</v>
      </c>
      <c r="I199" s="111" t="s">
        <v>2138</v>
      </c>
      <c r="J199" s="126" t="s">
        <v>2139</v>
      </c>
      <c r="K199" s="111" t="s">
        <v>2140</v>
      </c>
      <c r="L199" s="126" t="s">
        <v>2141</v>
      </c>
      <c r="M199" s="126" t="s">
        <v>2142</v>
      </c>
      <c r="N199" s="126"/>
      <c r="O199" s="109" t="s">
        <v>8</v>
      </c>
      <c r="P199" s="114">
        <v>1.15E-2</v>
      </c>
      <c r="Q199" s="107">
        <v>655.47</v>
      </c>
      <c r="R199" s="107">
        <v>75379.05</v>
      </c>
      <c r="S199" s="107" t="s">
        <v>2143</v>
      </c>
      <c r="T199" s="369"/>
      <c r="U199" s="344">
        <f>R199*W199%</f>
        <v>7537.9050000000007</v>
      </c>
      <c r="V199" s="344">
        <f t="shared" si="52"/>
        <v>7537.9050000000007</v>
      </c>
      <c r="W199" s="344">
        <v>10</v>
      </c>
      <c r="X199" s="344">
        <f>V199/(P199*10000)</f>
        <v>65.547000000000011</v>
      </c>
      <c r="Y199" s="344">
        <f t="shared" si="49"/>
        <v>628.15875000000005</v>
      </c>
      <c r="Z199" s="840"/>
      <c r="AA199" s="529">
        <v>5900</v>
      </c>
      <c r="AB199" s="364"/>
      <c r="AC199" s="407"/>
      <c r="AD199" s="483"/>
      <c r="AE199" s="422"/>
      <c r="AF199" s="462"/>
      <c r="AG199" s="483"/>
      <c r="AH199" s="502"/>
      <c r="AI199" s="364"/>
      <c r="AJ199" s="751"/>
      <c r="AK199" s="529"/>
      <c r="AL199" s="756"/>
      <c r="AM199" s="340">
        <f t="shared" si="44"/>
        <v>5900</v>
      </c>
      <c r="AN199" s="340">
        <f t="shared" si="45"/>
        <v>5900</v>
      </c>
      <c r="AO199" s="468"/>
      <c r="AP199" s="344">
        <f t="shared" si="46"/>
        <v>78.271084605072616</v>
      </c>
      <c r="AQ199" s="521">
        <v>4433.1400000000003</v>
      </c>
      <c r="AR199" s="523">
        <v>70.072884246665211</v>
      </c>
      <c r="AS199" s="164" t="s">
        <v>2548</v>
      </c>
      <c r="AT199" s="124" t="s">
        <v>2144</v>
      </c>
      <c r="AU199" s="113" t="s">
        <v>1713</v>
      </c>
    </row>
    <row r="200" spans="1:48" ht="409.5" x14ac:dyDescent="0.25">
      <c r="A200" s="8">
        <v>183</v>
      </c>
      <c r="B200" s="115"/>
      <c r="C200" s="264" t="s">
        <v>2073</v>
      </c>
      <c r="D200" s="265" t="s">
        <v>2074</v>
      </c>
      <c r="E200" s="266">
        <v>2689921307</v>
      </c>
      <c r="F200" s="270">
        <v>6510700000</v>
      </c>
      <c r="G200" s="270" t="s">
        <v>2628</v>
      </c>
      <c r="H200" s="270" t="s">
        <v>2629</v>
      </c>
      <c r="I200" s="271" t="s">
        <v>2630</v>
      </c>
      <c r="J200" s="300" t="s">
        <v>2632</v>
      </c>
      <c r="K200" s="271" t="s">
        <v>2633</v>
      </c>
      <c r="L200" s="300" t="s">
        <v>2631</v>
      </c>
      <c r="M200" s="300">
        <v>43671</v>
      </c>
      <c r="N200" s="300"/>
      <c r="O200" s="265" t="s">
        <v>8</v>
      </c>
      <c r="P200" s="275">
        <v>0.92</v>
      </c>
      <c r="Q200" s="276">
        <f>R200/9200</f>
        <v>487.91</v>
      </c>
      <c r="R200" s="269">
        <v>4488772</v>
      </c>
      <c r="S200" s="269" t="s">
        <v>2634</v>
      </c>
      <c r="T200" s="374"/>
      <c r="U200" s="349">
        <v>58073.5</v>
      </c>
      <c r="V200" s="349">
        <f t="shared" si="52"/>
        <v>58073.5</v>
      </c>
      <c r="W200" s="349">
        <f>U200*100/R200</f>
        <v>1.2937502729031458</v>
      </c>
      <c r="X200" s="351">
        <f>U200/(P200*10000)</f>
        <v>6.3123369565217393</v>
      </c>
      <c r="Y200" s="349">
        <f t="shared" si="49"/>
        <v>4839.458333333333</v>
      </c>
      <c r="Z200" s="840"/>
      <c r="AA200" s="475"/>
      <c r="AB200" s="410"/>
      <c r="AC200" s="408"/>
      <c r="AD200" s="486"/>
      <c r="AE200" s="410"/>
      <c r="AF200" s="475"/>
      <c r="AG200" s="486"/>
      <c r="AH200" s="504"/>
      <c r="AI200" s="410"/>
      <c r="AJ200" s="560"/>
      <c r="AK200" s="475"/>
      <c r="AL200" s="561"/>
      <c r="AM200" s="340">
        <f t="shared" si="44"/>
        <v>0</v>
      </c>
      <c r="AN200" s="340">
        <f t="shared" si="45"/>
        <v>0</v>
      </c>
      <c r="AO200" s="468"/>
      <c r="AP200" s="349">
        <f t="shared" si="46"/>
        <v>0</v>
      </c>
      <c r="AQ200" s="690">
        <v>22569.64</v>
      </c>
      <c r="AR200" s="695">
        <v>89.243054984404949</v>
      </c>
      <c r="AS200" s="310">
        <v>45483</v>
      </c>
      <c r="AT200" s="382" t="s">
        <v>2635</v>
      </c>
      <c r="AU200" s="267" t="s">
        <v>1713</v>
      </c>
    </row>
    <row r="201" spans="1:48" ht="168.75" x14ac:dyDescent="0.25">
      <c r="A201" s="8">
        <v>185</v>
      </c>
      <c r="B201" s="115">
        <v>112</v>
      </c>
      <c r="C201" s="277" t="s">
        <v>714</v>
      </c>
      <c r="D201" s="278" t="s">
        <v>715</v>
      </c>
      <c r="E201" s="266">
        <v>3470611516</v>
      </c>
      <c r="F201" s="270">
        <v>6510700000</v>
      </c>
      <c r="G201" s="270" t="s">
        <v>716</v>
      </c>
      <c r="H201" s="270" t="s">
        <v>717</v>
      </c>
      <c r="I201" s="271" t="s">
        <v>718</v>
      </c>
      <c r="J201" s="129" t="s">
        <v>719</v>
      </c>
      <c r="K201" s="127" t="s">
        <v>1505</v>
      </c>
      <c r="L201" s="129" t="s">
        <v>720</v>
      </c>
      <c r="M201" s="129" t="s">
        <v>721</v>
      </c>
      <c r="N201" s="129"/>
      <c r="O201" s="133" t="s">
        <v>8</v>
      </c>
      <c r="P201" s="142">
        <v>3.9E-2</v>
      </c>
      <c r="Q201" s="143">
        <v>470.11</v>
      </c>
      <c r="R201" s="107">
        <v>183342.9</v>
      </c>
      <c r="S201" s="107" t="s">
        <v>722</v>
      </c>
      <c r="T201" s="369"/>
      <c r="U201" s="349">
        <v>16060.89</v>
      </c>
      <c r="V201" s="350">
        <f t="shared" si="52"/>
        <v>16060.89</v>
      </c>
      <c r="W201" s="350">
        <v>8.76</v>
      </c>
      <c r="X201" s="333">
        <f>V201/(P201*10000)</f>
        <v>41.181769230769227</v>
      </c>
      <c r="Y201" s="333">
        <f t="shared" si="49"/>
        <v>1338.4075</v>
      </c>
      <c r="Z201" s="807"/>
      <c r="AA201" s="711">
        <v>1340</v>
      </c>
      <c r="AB201" s="340">
        <v>1340</v>
      </c>
      <c r="AC201" s="406">
        <v>1340</v>
      </c>
      <c r="AD201" s="459"/>
      <c r="AE201" s="421"/>
      <c r="AF201" s="463"/>
      <c r="AG201" s="459"/>
      <c r="AH201" s="503"/>
      <c r="AI201" s="340"/>
      <c r="AJ201" s="740"/>
      <c r="AK201" s="741"/>
      <c r="AL201" s="732"/>
      <c r="AM201" s="340">
        <f t="shared" si="44"/>
        <v>4020</v>
      </c>
      <c r="AN201" s="340">
        <f t="shared" si="45"/>
        <v>4020</v>
      </c>
      <c r="AO201" s="468"/>
      <c r="AP201" s="333">
        <f t="shared" si="46"/>
        <v>25.029746172223334</v>
      </c>
      <c r="AQ201" s="521">
        <v>16080</v>
      </c>
      <c r="AR201" s="523">
        <v>100.11898468889333</v>
      </c>
      <c r="AS201" s="164">
        <v>45197</v>
      </c>
      <c r="AT201" s="125" t="s">
        <v>1765</v>
      </c>
      <c r="AU201" s="113" t="s">
        <v>1634</v>
      </c>
      <c r="AV201" s="1" t="s">
        <v>2022</v>
      </c>
    </row>
    <row r="202" spans="1:48" ht="187.5" x14ac:dyDescent="0.25">
      <c r="A202" s="8">
        <v>188</v>
      </c>
      <c r="B202" s="527">
        <v>115</v>
      </c>
      <c r="C202" s="277" t="s">
        <v>3206</v>
      </c>
      <c r="D202" s="278" t="s">
        <v>3207</v>
      </c>
      <c r="E202" s="265">
        <v>2643701999</v>
      </c>
      <c r="F202" s="270">
        <v>6510700000</v>
      </c>
      <c r="G202" s="270" t="s">
        <v>3208</v>
      </c>
      <c r="H202" s="270" t="s">
        <v>3209</v>
      </c>
      <c r="I202" s="271" t="s">
        <v>3210</v>
      </c>
      <c r="J202" s="290" t="s">
        <v>3211</v>
      </c>
      <c r="K202" s="273" t="s">
        <v>2419</v>
      </c>
      <c r="L202" s="290" t="s">
        <v>3212</v>
      </c>
      <c r="M202" s="272" t="s">
        <v>3213</v>
      </c>
      <c r="N202" s="290"/>
      <c r="O202" s="265" t="s">
        <v>8</v>
      </c>
      <c r="P202" s="279">
        <v>1.78E-2</v>
      </c>
      <c r="Q202" s="280">
        <v>1595.5700000000002</v>
      </c>
      <c r="R202" s="269">
        <v>284011.46000000002</v>
      </c>
      <c r="S202" s="269" t="s">
        <v>3214</v>
      </c>
      <c r="T202" s="374">
        <v>8818.5400000000009</v>
      </c>
      <c r="U202" s="349">
        <v>8818.5400000000009</v>
      </c>
      <c r="V202" s="349">
        <f t="shared" si="52"/>
        <v>8818.5400000000009</v>
      </c>
      <c r="W202" s="349">
        <v>3.105</v>
      </c>
      <c r="X202" s="349">
        <v>27.661235955056178</v>
      </c>
      <c r="Y202" s="349">
        <f t="shared" si="49"/>
        <v>734.87833333333344</v>
      </c>
      <c r="Z202" s="840">
        <v>750</v>
      </c>
      <c r="AA202" s="475">
        <v>750</v>
      </c>
      <c r="AB202" s="410"/>
      <c r="AC202" s="408"/>
      <c r="AD202" s="486"/>
      <c r="AE202" s="410"/>
      <c r="AF202" s="475"/>
      <c r="AG202" s="410"/>
      <c r="AH202" s="410"/>
      <c r="AI202" s="410"/>
      <c r="AJ202" s="765"/>
      <c r="AK202" s="475"/>
      <c r="AL202" s="561"/>
      <c r="AM202" s="340">
        <f t="shared" si="44"/>
        <v>1500</v>
      </c>
      <c r="AN202" s="340">
        <f t="shared" si="45"/>
        <v>750</v>
      </c>
      <c r="AO202" s="468"/>
      <c r="AP202" s="349">
        <f t="shared" si="46"/>
        <v>17.009618372202201</v>
      </c>
      <c r="AQ202" s="690">
        <v>6099.72</v>
      </c>
      <c r="AR202" s="695">
        <v>123.88488331945489</v>
      </c>
      <c r="AS202" s="310">
        <v>45441</v>
      </c>
      <c r="AT202" s="377" t="s">
        <v>3215</v>
      </c>
      <c r="AU202" s="267" t="s">
        <v>1679</v>
      </c>
    </row>
    <row r="203" spans="1:48" ht="112.5" x14ac:dyDescent="0.25">
      <c r="A203" s="8">
        <v>189</v>
      </c>
      <c r="B203" s="115">
        <v>116</v>
      </c>
      <c r="C203" s="277" t="s">
        <v>724</v>
      </c>
      <c r="D203" s="278" t="s">
        <v>725</v>
      </c>
      <c r="E203" s="266">
        <v>2678708764</v>
      </c>
      <c r="F203" s="270">
        <v>6510700000</v>
      </c>
      <c r="G203" s="270" t="s">
        <v>726</v>
      </c>
      <c r="H203" s="270" t="s">
        <v>727</v>
      </c>
      <c r="I203" s="271" t="s">
        <v>728</v>
      </c>
      <c r="J203" s="272" t="s">
        <v>729</v>
      </c>
      <c r="K203" s="273" t="s">
        <v>1506</v>
      </c>
      <c r="L203" s="272" t="s">
        <v>730</v>
      </c>
      <c r="M203" s="272" t="s">
        <v>1507</v>
      </c>
      <c r="N203" s="272"/>
      <c r="O203" s="274" t="s">
        <v>8</v>
      </c>
      <c r="P203" s="279">
        <v>6.7999999999999996E-3</v>
      </c>
      <c r="Q203" s="280">
        <v>862.45</v>
      </c>
      <c r="R203" s="269">
        <v>58646.600000000006</v>
      </c>
      <c r="S203" s="269" t="s">
        <v>731</v>
      </c>
      <c r="T203" s="374">
        <v>6835.27</v>
      </c>
      <c r="U203" s="349">
        <v>6835.27</v>
      </c>
      <c r="V203" s="350">
        <f t="shared" si="52"/>
        <v>6835.27</v>
      </c>
      <c r="W203" s="350">
        <v>11.654999999999999</v>
      </c>
      <c r="X203" s="350">
        <f>V203/(P203*10000)</f>
        <v>100.51867647058825</v>
      </c>
      <c r="Y203" s="350">
        <f t="shared" si="49"/>
        <v>569.60583333333341</v>
      </c>
      <c r="Z203" s="807"/>
      <c r="AA203" s="855">
        <v>570</v>
      </c>
      <c r="AB203" s="358">
        <v>570</v>
      </c>
      <c r="AC203" s="408"/>
      <c r="AD203" s="486">
        <v>570</v>
      </c>
      <c r="AE203" s="437"/>
      <c r="AF203" s="469"/>
      <c r="AG203" s="486"/>
      <c r="AH203" s="504"/>
      <c r="AI203" s="358"/>
      <c r="AJ203" s="772"/>
      <c r="AK203" s="475"/>
      <c r="AL203" s="766"/>
      <c r="AM203" s="340">
        <f t="shared" si="44"/>
        <v>1710</v>
      </c>
      <c r="AN203" s="340">
        <f t="shared" si="45"/>
        <v>1710</v>
      </c>
      <c r="AO203" s="468"/>
      <c r="AP203" s="350">
        <f t="shared" si="46"/>
        <v>25.017299974982699</v>
      </c>
      <c r="AQ203" s="690">
        <v>6840</v>
      </c>
      <c r="AR203" s="695">
        <v>100.06919989993079</v>
      </c>
      <c r="AS203" s="310" t="s">
        <v>2594</v>
      </c>
      <c r="AT203" s="377" t="s">
        <v>1759</v>
      </c>
      <c r="AU203" s="267" t="s">
        <v>1634</v>
      </c>
      <c r="AV203" s="242" t="s">
        <v>3129</v>
      </c>
    </row>
    <row r="204" spans="1:48" ht="187.5" x14ac:dyDescent="0.25">
      <c r="A204" s="8">
        <v>190</v>
      </c>
      <c r="B204" s="115">
        <v>117</v>
      </c>
      <c r="C204" s="277" t="s">
        <v>3366</v>
      </c>
      <c r="D204" s="278" t="s">
        <v>3367</v>
      </c>
      <c r="E204" s="266">
        <v>3092315137</v>
      </c>
      <c r="F204" s="270">
        <v>6510700000</v>
      </c>
      <c r="G204" s="270" t="s">
        <v>3368</v>
      </c>
      <c r="H204" s="270" t="s">
        <v>3369</v>
      </c>
      <c r="I204" s="271" t="s">
        <v>3370</v>
      </c>
      <c r="J204" s="272" t="s">
        <v>3371</v>
      </c>
      <c r="K204" s="273" t="s">
        <v>3372</v>
      </c>
      <c r="L204" s="272" t="s">
        <v>3373</v>
      </c>
      <c r="M204" s="272">
        <v>43560</v>
      </c>
      <c r="N204" s="272"/>
      <c r="O204" s="274" t="s">
        <v>8</v>
      </c>
      <c r="P204" s="279">
        <v>0.32829999999999998</v>
      </c>
      <c r="Q204" s="280">
        <v>369.35999999999996</v>
      </c>
      <c r="R204" s="269">
        <v>1212608.8799999999</v>
      </c>
      <c r="S204" s="269" t="s">
        <v>3374</v>
      </c>
      <c r="T204" s="374">
        <v>38197.17</v>
      </c>
      <c r="U204" s="349">
        <v>38197.17</v>
      </c>
      <c r="V204" s="350">
        <f t="shared" si="52"/>
        <v>38197.17</v>
      </c>
      <c r="W204" s="350">
        <v>3.15</v>
      </c>
      <c r="X204" s="350">
        <v>8.5968595796527563</v>
      </c>
      <c r="Y204" s="350">
        <f t="shared" si="49"/>
        <v>3183.0974999999999</v>
      </c>
      <c r="Z204" s="807"/>
      <c r="AA204" s="855">
        <v>3183.1</v>
      </c>
      <c r="AB204" s="358">
        <v>1383.1</v>
      </c>
      <c r="AC204" s="408">
        <v>3183.1</v>
      </c>
      <c r="AD204" s="486">
        <v>3183.1</v>
      </c>
      <c r="AE204" s="437"/>
      <c r="AF204" s="469"/>
      <c r="AG204" s="486"/>
      <c r="AH204" s="504"/>
      <c r="AI204" s="358"/>
      <c r="AJ204" s="772"/>
      <c r="AK204" s="475"/>
      <c r="AL204" s="766"/>
      <c r="AM204" s="340">
        <f t="shared" si="44"/>
        <v>10932.4</v>
      </c>
      <c r="AN204" s="340">
        <f t="shared" si="45"/>
        <v>10932.4</v>
      </c>
      <c r="AO204" s="468"/>
      <c r="AP204" s="350">
        <f t="shared" si="46"/>
        <v>28.620968516777552</v>
      </c>
      <c r="AQ204" s="690">
        <v>23676.199999999997</v>
      </c>
      <c r="AR204" s="695">
        <v>83.888278876921291</v>
      </c>
      <c r="AS204" s="310" t="s">
        <v>2595</v>
      </c>
      <c r="AT204" s="721" t="s">
        <v>3375</v>
      </c>
      <c r="AU204" s="285" t="s">
        <v>1634</v>
      </c>
    </row>
    <row r="205" spans="1:48" ht="131.25" x14ac:dyDescent="0.25">
      <c r="A205" s="8">
        <v>191</v>
      </c>
      <c r="B205" s="266">
        <v>118</v>
      </c>
      <c r="C205" s="98" t="s">
        <v>2795</v>
      </c>
      <c r="D205" s="17" t="s">
        <v>733</v>
      </c>
      <c r="E205" s="9" t="s">
        <v>1509</v>
      </c>
      <c r="F205" s="19">
        <v>6510700000</v>
      </c>
      <c r="G205" s="19" t="s">
        <v>732</v>
      </c>
      <c r="H205" s="19" t="s">
        <v>733</v>
      </c>
      <c r="I205" s="75"/>
      <c r="J205" s="61" t="s">
        <v>2826</v>
      </c>
      <c r="K205" s="72"/>
      <c r="L205" s="61" t="s">
        <v>2825</v>
      </c>
      <c r="M205" s="61" t="s">
        <v>734</v>
      </c>
      <c r="N205" s="61"/>
      <c r="O205" s="29" t="s">
        <v>8</v>
      </c>
      <c r="P205" s="59">
        <v>2.5000000000000001E-3</v>
      </c>
      <c r="Q205" s="54">
        <v>291.31</v>
      </c>
      <c r="R205" s="12">
        <v>7282.75</v>
      </c>
      <c r="S205" s="12"/>
      <c r="T205" s="368"/>
      <c r="U205" s="336">
        <f t="shared" ref="U205:U214" si="53">R205*W205%</f>
        <v>36.41375</v>
      </c>
      <c r="V205" s="333">
        <f t="shared" si="52"/>
        <v>36.41375</v>
      </c>
      <c r="W205" s="332">
        <v>0.5</v>
      </c>
      <c r="X205" s="333">
        <f t="shared" ref="X205:X214" si="54">V205/(P205*10000)</f>
        <v>1.45655</v>
      </c>
      <c r="Y205" s="333">
        <f t="shared" si="49"/>
        <v>3.0344791666666668</v>
      </c>
      <c r="Z205" s="807"/>
      <c r="AA205" s="711"/>
      <c r="AB205" s="340"/>
      <c r="AC205" s="406"/>
      <c r="AD205" s="459"/>
      <c r="AE205" s="421"/>
      <c r="AF205" s="773"/>
      <c r="AG205" s="634"/>
      <c r="AH205" s="503"/>
      <c r="AI205" s="340"/>
      <c r="AJ205" s="740"/>
      <c r="AK205" s="741"/>
      <c r="AL205" s="732"/>
      <c r="AM205" s="340">
        <f t="shared" si="44"/>
        <v>0</v>
      </c>
      <c r="AN205" s="340">
        <f t="shared" si="45"/>
        <v>0</v>
      </c>
      <c r="AO205" s="468"/>
      <c r="AP205" s="333">
        <f t="shared" si="46"/>
        <v>0</v>
      </c>
      <c r="AQ205" s="192">
        <v>14.56</v>
      </c>
      <c r="AR205" s="416">
        <v>39.98489581545433</v>
      </c>
      <c r="AS205" s="140" t="s">
        <v>2597</v>
      </c>
      <c r="AT205" s="11" t="s">
        <v>1741</v>
      </c>
      <c r="AU205" s="13"/>
    </row>
    <row r="206" spans="1:48" ht="150" x14ac:dyDescent="0.25">
      <c r="A206" s="530"/>
      <c r="B206" s="266"/>
      <c r="C206" s="277" t="s">
        <v>3510</v>
      </c>
      <c r="D206" s="278" t="s">
        <v>3511</v>
      </c>
      <c r="E206" s="266">
        <v>2420512732</v>
      </c>
      <c r="F206" s="270">
        <v>6510700000</v>
      </c>
      <c r="G206" s="270" t="s">
        <v>3512</v>
      </c>
      <c r="H206" s="270" t="s">
        <v>3513</v>
      </c>
      <c r="I206" s="271" t="s">
        <v>3514</v>
      </c>
      <c r="J206" s="272" t="s">
        <v>3515</v>
      </c>
      <c r="K206" s="273" t="s">
        <v>3516</v>
      </c>
      <c r="L206" s="272" t="s">
        <v>3517</v>
      </c>
      <c r="M206" s="272">
        <v>43893</v>
      </c>
      <c r="N206" s="272"/>
      <c r="O206" s="274" t="s">
        <v>8</v>
      </c>
      <c r="P206" s="279">
        <v>5.1000000000000004E-3</v>
      </c>
      <c r="Q206" s="280">
        <f>R206/51</f>
        <v>1215.67</v>
      </c>
      <c r="R206" s="269">
        <v>61999.17</v>
      </c>
      <c r="S206" s="269" t="s">
        <v>3518</v>
      </c>
      <c r="T206" s="374">
        <v>7036.92</v>
      </c>
      <c r="U206" s="349">
        <v>7036.92</v>
      </c>
      <c r="V206" s="350">
        <v>5826.27</v>
      </c>
      <c r="W206" s="349">
        <f>U206*100/R206</f>
        <v>11.350022911597042</v>
      </c>
      <c r="X206" s="350">
        <f t="shared" si="54"/>
        <v>114.24058823529411</v>
      </c>
      <c r="Y206" s="350">
        <f>V206/12</f>
        <v>485.52250000000004</v>
      </c>
      <c r="Z206" s="899"/>
      <c r="AA206" s="855"/>
      <c r="AB206" s="358">
        <v>550</v>
      </c>
      <c r="AC206" s="408">
        <v>550</v>
      </c>
      <c r="AD206" s="486">
        <v>550</v>
      </c>
      <c r="AE206" s="437"/>
      <c r="AF206" s="900"/>
      <c r="AG206" s="901"/>
      <c r="AH206" s="504"/>
      <c r="AI206" s="358"/>
      <c r="AJ206" s="560"/>
      <c r="AK206" s="475"/>
      <c r="AL206" s="766"/>
      <c r="AM206" s="358">
        <f>SUM(Z206:AK206)</f>
        <v>1650</v>
      </c>
      <c r="AN206" s="358">
        <f>SUM(AA206:AL206)</f>
        <v>1650</v>
      </c>
      <c r="AO206" s="1216"/>
      <c r="AP206" s="350">
        <f>AM206*100/V206</f>
        <v>28.320005766982991</v>
      </c>
      <c r="AQ206" s="690" t="s">
        <v>1887</v>
      </c>
      <c r="AR206" s="695" t="s">
        <v>1887</v>
      </c>
      <c r="AS206" s="310">
        <v>45709</v>
      </c>
      <c r="AT206" s="313" t="s">
        <v>3519</v>
      </c>
      <c r="AU206" s="293" t="s">
        <v>1634</v>
      </c>
    </row>
    <row r="207" spans="1:48" ht="300" x14ac:dyDescent="0.25">
      <c r="A207" s="8">
        <v>192</v>
      </c>
      <c r="B207" s="115">
        <v>119</v>
      </c>
      <c r="C207" s="170" t="s">
        <v>735</v>
      </c>
      <c r="D207" s="171" t="s">
        <v>736</v>
      </c>
      <c r="E207" s="115">
        <v>2335016430</v>
      </c>
      <c r="F207" s="110">
        <v>6510700000</v>
      </c>
      <c r="G207" s="110" t="s">
        <v>737</v>
      </c>
      <c r="H207" s="110" t="s">
        <v>738</v>
      </c>
      <c r="I207" s="111" t="s">
        <v>739</v>
      </c>
      <c r="J207" s="109" t="s">
        <v>740</v>
      </c>
      <c r="K207" s="113" t="s">
        <v>741</v>
      </c>
      <c r="L207" s="109" t="s">
        <v>742</v>
      </c>
      <c r="M207" s="112" t="s">
        <v>743</v>
      </c>
      <c r="N207" s="109"/>
      <c r="O207" s="133" t="s">
        <v>8</v>
      </c>
      <c r="P207" s="172">
        <v>7.4999999999999997E-2</v>
      </c>
      <c r="Q207" s="131">
        <v>229.79</v>
      </c>
      <c r="R207" s="107">
        <v>172342.5</v>
      </c>
      <c r="S207" s="133" t="s">
        <v>744</v>
      </c>
      <c r="T207" s="369"/>
      <c r="U207" s="344">
        <f t="shared" si="53"/>
        <v>861.71249999999998</v>
      </c>
      <c r="V207" s="345">
        <f t="shared" si="52"/>
        <v>861.71249999999998</v>
      </c>
      <c r="W207" s="345">
        <v>0.5</v>
      </c>
      <c r="X207" s="345">
        <f t="shared" si="54"/>
        <v>1.1489499999999999</v>
      </c>
      <c r="Y207" s="345">
        <f t="shared" si="49"/>
        <v>71.809375000000003</v>
      </c>
      <c r="Z207" s="807"/>
      <c r="AA207" s="711"/>
      <c r="AB207" s="340"/>
      <c r="AC207" s="406"/>
      <c r="AD207" s="459"/>
      <c r="AE207" s="421"/>
      <c r="AF207" s="463"/>
      <c r="AG207" s="459"/>
      <c r="AH207" s="503"/>
      <c r="AI207" s="340"/>
      <c r="AJ207" s="740"/>
      <c r="AK207" s="741"/>
      <c r="AL207" s="732"/>
      <c r="AM207" s="340">
        <f t="shared" si="44"/>
        <v>0</v>
      </c>
      <c r="AN207" s="340">
        <f t="shared" si="45"/>
        <v>0</v>
      </c>
      <c r="AO207" s="468"/>
      <c r="AP207" s="333">
        <f t="shared" si="46"/>
        <v>0</v>
      </c>
      <c r="AQ207" s="521">
        <v>0</v>
      </c>
      <c r="AR207" s="416">
        <v>0</v>
      </c>
      <c r="AS207" s="164" t="s">
        <v>2550</v>
      </c>
      <c r="AT207" s="118" t="s">
        <v>1767</v>
      </c>
      <c r="AU207" s="174" t="s">
        <v>1768</v>
      </c>
    </row>
    <row r="208" spans="1:48" ht="225" x14ac:dyDescent="0.25">
      <c r="A208" s="8">
        <v>193</v>
      </c>
      <c r="B208" s="115">
        <v>120</v>
      </c>
      <c r="C208" s="119" t="s">
        <v>745</v>
      </c>
      <c r="D208" s="120" t="s">
        <v>746</v>
      </c>
      <c r="E208" s="115" t="s">
        <v>1510</v>
      </c>
      <c r="F208" s="110">
        <v>6510700000</v>
      </c>
      <c r="G208" s="110" t="s">
        <v>1974</v>
      </c>
      <c r="H208" s="110" t="s">
        <v>747</v>
      </c>
      <c r="I208" s="111" t="s">
        <v>748</v>
      </c>
      <c r="J208" s="121" t="s">
        <v>1975</v>
      </c>
      <c r="K208" s="111" t="s">
        <v>1976</v>
      </c>
      <c r="L208" s="121" t="s">
        <v>1977</v>
      </c>
      <c r="M208" s="126" t="s">
        <v>1978</v>
      </c>
      <c r="N208" s="121" t="s">
        <v>3389</v>
      </c>
      <c r="O208" s="109" t="s">
        <v>8</v>
      </c>
      <c r="P208" s="298">
        <v>6.0999999999999999E-2</v>
      </c>
      <c r="Q208" s="131">
        <v>364.15</v>
      </c>
      <c r="R208" s="107">
        <v>222131.5</v>
      </c>
      <c r="S208" s="107" t="s">
        <v>1979</v>
      </c>
      <c r="T208" s="369"/>
      <c r="U208" s="344">
        <f t="shared" si="53"/>
        <v>22213.15</v>
      </c>
      <c r="V208" s="344">
        <f t="shared" si="52"/>
        <v>22213.15</v>
      </c>
      <c r="W208" s="344">
        <v>10</v>
      </c>
      <c r="X208" s="344">
        <f t="shared" si="54"/>
        <v>36.414999999999999</v>
      </c>
      <c r="Y208" s="344">
        <f t="shared" si="49"/>
        <v>1851.0958333333335</v>
      </c>
      <c r="Z208" s="848"/>
      <c r="AA208" s="807">
        <f>2420+2419</f>
        <v>4839</v>
      </c>
      <c r="AB208" s="364">
        <v>2420</v>
      </c>
      <c r="AC208" s="407"/>
      <c r="AD208" s="483"/>
      <c r="AE208" s="422"/>
      <c r="AF208" s="462"/>
      <c r="AG208" s="483"/>
      <c r="AH208" s="502"/>
      <c r="AI208" s="364"/>
      <c r="AJ208" s="762"/>
      <c r="AK208" s="529"/>
      <c r="AL208" s="756"/>
      <c r="AM208" s="340">
        <f>SUM(AA208:AK208)</f>
        <v>7259</v>
      </c>
      <c r="AN208" s="340">
        <f>SUM(AA208:AL208)</f>
        <v>7259</v>
      </c>
      <c r="AO208" s="468"/>
      <c r="AP208" s="333">
        <f t="shared" si="46"/>
        <v>32.678841136894135</v>
      </c>
      <c r="AQ208" s="521">
        <v>21270</v>
      </c>
      <c r="AR208" s="523">
        <v>95.754091607898914</v>
      </c>
      <c r="AS208" s="164">
        <v>44886</v>
      </c>
      <c r="AT208" s="118" t="s">
        <v>3520</v>
      </c>
      <c r="AU208" s="113" t="s">
        <v>1634</v>
      </c>
    </row>
    <row r="209" spans="1:48" ht="150" x14ac:dyDescent="0.25">
      <c r="A209" s="8">
        <v>194</v>
      </c>
      <c r="B209" s="115">
        <v>121</v>
      </c>
      <c r="C209" s="119" t="s">
        <v>2402</v>
      </c>
      <c r="D209" s="120" t="s">
        <v>2325</v>
      </c>
      <c r="E209" s="115" t="s">
        <v>1511</v>
      </c>
      <c r="F209" s="110">
        <v>6510700000</v>
      </c>
      <c r="G209" s="110" t="s">
        <v>749</v>
      </c>
      <c r="H209" s="110" t="s">
        <v>437</v>
      </c>
      <c r="I209" s="111" t="s">
        <v>2326</v>
      </c>
      <c r="J209" s="126" t="s">
        <v>2327</v>
      </c>
      <c r="K209" s="111" t="s">
        <v>1477</v>
      </c>
      <c r="L209" s="126" t="s">
        <v>2328</v>
      </c>
      <c r="M209" s="126" t="s">
        <v>750</v>
      </c>
      <c r="N209" s="126">
        <v>43707</v>
      </c>
      <c r="O209" s="109" t="s">
        <v>8</v>
      </c>
      <c r="P209" s="114">
        <v>3.8E-3</v>
      </c>
      <c r="Q209" s="107">
        <v>853.16</v>
      </c>
      <c r="R209" s="107">
        <v>32420.079999999998</v>
      </c>
      <c r="S209" s="107" t="s">
        <v>2478</v>
      </c>
      <c r="T209" s="369"/>
      <c r="U209" s="344">
        <f t="shared" si="53"/>
        <v>3566.2087999999999</v>
      </c>
      <c r="V209" s="345">
        <f t="shared" si="52"/>
        <v>3566.2087999999999</v>
      </c>
      <c r="W209" s="345">
        <v>11</v>
      </c>
      <c r="X209" s="345">
        <f t="shared" si="54"/>
        <v>93.8476</v>
      </c>
      <c r="Y209" s="345">
        <f t="shared" si="49"/>
        <v>297.18406666666664</v>
      </c>
      <c r="Z209" s="807"/>
      <c r="AA209" s="852">
        <v>297.18</v>
      </c>
      <c r="AB209" s="359"/>
      <c r="AC209" s="407"/>
      <c r="AD209" s="483"/>
      <c r="AE209" s="422"/>
      <c r="AF209" s="462"/>
      <c r="AG209" s="483"/>
      <c r="AH209" s="502"/>
      <c r="AI209" s="359"/>
      <c r="AJ209" s="751"/>
      <c r="AK209" s="529"/>
      <c r="AL209" s="752"/>
      <c r="AM209" s="340">
        <f t="shared" ref="AM209:AM267" si="55">SUM(Z209:AK209)</f>
        <v>297.18</v>
      </c>
      <c r="AN209" s="340">
        <f t="shared" ref="AN209:AN267" si="56">SUM(AA209:AL209)</f>
        <v>297.18</v>
      </c>
      <c r="AO209" s="468"/>
      <c r="AP209" s="345">
        <f t="shared" si="46"/>
        <v>8.3332193000028489</v>
      </c>
      <c r="AQ209" s="521">
        <v>3566.1599999999994</v>
      </c>
      <c r="AR209" s="523">
        <v>99.998631600034173</v>
      </c>
      <c r="AS209" s="164">
        <v>44739</v>
      </c>
      <c r="AT209" s="118" t="s">
        <v>1752</v>
      </c>
      <c r="AU209" s="113" t="s">
        <v>1634</v>
      </c>
      <c r="AV209" s="1"/>
    </row>
    <row r="210" spans="1:48" ht="168.75" x14ac:dyDescent="0.25">
      <c r="A210" s="8">
        <v>195</v>
      </c>
      <c r="B210" s="115">
        <v>122</v>
      </c>
      <c r="C210" s="119" t="s">
        <v>751</v>
      </c>
      <c r="D210" s="120" t="s">
        <v>752</v>
      </c>
      <c r="E210" s="115">
        <v>2649422073</v>
      </c>
      <c r="F210" s="110">
        <v>6510700000</v>
      </c>
      <c r="G210" s="110" t="s">
        <v>753</v>
      </c>
      <c r="H210" s="110" t="s">
        <v>754</v>
      </c>
      <c r="I210" s="111" t="s">
        <v>3244</v>
      </c>
      <c r="J210" s="126" t="s">
        <v>755</v>
      </c>
      <c r="K210" s="111" t="s">
        <v>756</v>
      </c>
      <c r="L210" s="126" t="s">
        <v>757</v>
      </c>
      <c r="M210" s="126" t="s">
        <v>758</v>
      </c>
      <c r="N210" s="126">
        <v>43245</v>
      </c>
      <c r="O210" s="109" t="s">
        <v>8</v>
      </c>
      <c r="P210" s="114" t="s">
        <v>1512</v>
      </c>
      <c r="Q210" s="107">
        <v>1975.09</v>
      </c>
      <c r="R210" s="107">
        <v>23701.079999999994</v>
      </c>
      <c r="S210" s="107" t="s">
        <v>759</v>
      </c>
      <c r="T210" s="369"/>
      <c r="U210" s="343">
        <f t="shared" si="53"/>
        <v>2607.1187999999993</v>
      </c>
      <c r="V210" s="347">
        <f t="shared" si="52"/>
        <v>2607.1187999999993</v>
      </c>
      <c r="W210" s="347">
        <v>11</v>
      </c>
      <c r="X210" s="333">
        <f t="shared" si="54"/>
        <v>217.25989999999996</v>
      </c>
      <c r="Y210" s="333">
        <f t="shared" si="49"/>
        <v>217.25989999999993</v>
      </c>
      <c r="Z210" s="807"/>
      <c r="AA210" s="711">
        <v>2389.86</v>
      </c>
      <c r="AB210" s="340"/>
      <c r="AC210" s="406"/>
      <c r="AD210" s="459"/>
      <c r="AE210" s="421"/>
      <c r="AF210" s="463"/>
      <c r="AG210" s="459"/>
      <c r="AH210" s="503"/>
      <c r="AI210" s="340"/>
      <c r="AJ210" s="740"/>
      <c r="AK210" s="741"/>
      <c r="AL210" s="732"/>
      <c r="AM210" s="340">
        <f t="shared" si="55"/>
        <v>2389.86</v>
      </c>
      <c r="AN210" s="340">
        <f t="shared" si="56"/>
        <v>2389.86</v>
      </c>
      <c r="AO210" s="468"/>
      <c r="AP210" s="333">
        <f t="shared" si="46"/>
        <v>91.666708858836842</v>
      </c>
      <c r="AQ210" s="521">
        <v>2096.85</v>
      </c>
      <c r="AR210" s="416">
        <v>80.427865427536346</v>
      </c>
      <c r="AS210" s="164" t="s">
        <v>2551</v>
      </c>
      <c r="AT210" s="112" t="s">
        <v>1752</v>
      </c>
      <c r="AU210" s="113" t="s">
        <v>1713</v>
      </c>
      <c r="AV210" s="428"/>
    </row>
    <row r="211" spans="1:48" ht="112.5" x14ac:dyDescent="0.25">
      <c r="A211" s="8">
        <v>196</v>
      </c>
      <c r="B211" s="115">
        <v>123</v>
      </c>
      <c r="C211" s="98" t="s">
        <v>2796</v>
      </c>
      <c r="D211" s="17" t="s">
        <v>2854</v>
      </c>
      <c r="E211" s="10" t="s">
        <v>1513</v>
      </c>
      <c r="F211" s="19">
        <v>6510700000</v>
      </c>
      <c r="G211" s="19" t="s">
        <v>760</v>
      </c>
      <c r="H211" s="19" t="s">
        <v>2855</v>
      </c>
      <c r="I211" s="75" t="s">
        <v>2856</v>
      </c>
      <c r="J211" s="60" t="s">
        <v>2853</v>
      </c>
      <c r="K211" s="75"/>
      <c r="L211" s="60" t="s">
        <v>2852</v>
      </c>
      <c r="M211" s="60" t="s">
        <v>761</v>
      </c>
      <c r="N211" s="554"/>
      <c r="O211" s="10" t="s">
        <v>8</v>
      </c>
      <c r="P211" s="27">
        <v>4.0000000000000001E-3</v>
      </c>
      <c r="Q211" s="12">
        <v>854.08</v>
      </c>
      <c r="R211" s="12">
        <v>34163.200000000004</v>
      </c>
      <c r="S211" s="12"/>
      <c r="T211" s="555"/>
      <c r="U211" s="336">
        <f t="shared" si="53"/>
        <v>4099.5840000000007</v>
      </c>
      <c r="V211" s="333">
        <f t="shared" si="52"/>
        <v>4099.5840000000007</v>
      </c>
      <c r="W211" s="333">
        <v>12</v>
      </c>
      <c r="X211" s="333">
        <f t="shared" si="54"/>
        <v>102.48960000000002</v>
      </c>
      <c r="Y211" s="333">
        <f t="shared" si="49"/>
        <v>341.63200000000006</v>
      </c>
      <c r="Z211" s="807"/>
      <c r="AA211" s="711"/>
      <c r="AB211" s="340"/>
      <c r="AC211" s="406"/>
      <c r="AD211" s="459"/>
      <c r="AE211" s="421"/>
      <c r="AF211" s="463"/>
      <c r="AG211" s="459"/>
      <c r="AH211" s="503"/>
      <c r="AI211" s="340"/>
      <c r="AJ211" s="740"/>
      <c r="AK211" s="741"/>
      <c r="AL211" s="732"/>
      <c r="AM211" s="340">
        <f t="shared" si="55"/>
        <v>0</v>
      </c>
      <c r="AN211" s="340">
        <f t="shared" si="56"/>
        <v>0</v>
      </c>
      <c r="AO211" s="468"/>
      <c r="AP211" s="333">
        <f t="shared" si="46"/>
        <v>0</v>
      </c>
      <c r="AQ211" s="192">
        <v>0</v>
      </c>
      <c r="AR211" s="416">
        <v>0</v>
      </c>
      <c r="AS211" s="140">
        <v>43199</v>
      </c>
      <c r="AT211" s="55" t="s">
        <v>1769</v>
      </c>
      <c r="AU211" s="13"/>
      <c r="AV211" s="556"/>
    </row>
    <row r="212" spans="1:48" ht="262.5" x14ac:dyDescent="0.25">
      <c r="A212" s="8">
        <v>197</v>
      </c>
      <c r="B212" s="568">
        <v>124</v>
      </c>
      <c r="C212" s="588" t="s">
        <v>762</v>
      </c>
      <c r="D212" s="577" t="s">
        <v>763</v>
      </c>
      <c r="E212" s="577" t="s">
        <v>1514</v>
      </c>
      <c r="F212" s="572">
        <v>6510700000</v>
      </c>
      <c r="G212" s="572" t="s">
        <v>764</v>
      </c>
      <c r="H212" s="572" t="s">
        <v>2426</v>
      </c>
      <c r="I212" s="599" t="s">
        <v>1937</v>
      </c>
      <c r="J212" s="586" t="s">
        <v>2427</v>
      </c>
      <c r="K212" s="600" t="s">
        <v>1936</v>
      </c>
      <c r="L212" s="600" t="s">
        <v>2428</v>
      </c>
      <c r="M212" s="601">
        <v>42074</v>
      </c>
      <c r="N212" s="602" t="s">
        <v>3293</v>
      </c>
      <c r="O212" s="603" t="s">
        <v>8</v>
      </c>
      <c r="P212" s="604" t="s">
        <v>1515</v>
      </c>
      <c r="Q212" s="605">
        <v>1889.22</v>
      </c>
      <c r="R212" s="579">
        <v>1398022.8</v>
      </c>
      <c r="S212" s="579" t="s">
        <v>2380</v>
      </c>
      <c r="T212" s="580"/>
      <c r="U212" s="581">
        <f t="shared" si="53"/>
        <v>41940.684000000001</v>
      </c>
      <c r="V212" s="581">
        <f t="shared" si="52"/>
        <v>41940.684000000001</v>
      </c>
      <c r="W212" s="581">
        <v>3</v>
      </c>
      <c r="X212" s="581">
        <f t="shared" si="54"/>
        <v>56.676600000000001</v>
      </c>
      <c r="Y212" s="581">
        <f t="shared" si="49"/>
        <v>3495.0570000000002</v>
      </c>
      <c r="Z212" s="840">
        <v>2700</v>
      </c>
      <c r="AA212" s="597">
        <v>4000</v>
      </c>
      <c r="AB212" s="592">
        <v>4200</v>
      </c>
      <c r="AC212" s="611"/>
      <c r="AD212" s="1114"/>
      <c r="AE212" s="592"/>
      <c r="AF212" s="593"/>
      <c r="AG212" s="594"/>
      <c r="AH212" s="595"/>
      <c r="AI212" s="592"/>
      <c r="AJ212" s="596"/>
      <c r="AK212" s="597"/>
      <c r="AL212" s="598"/>
      <c r="AM212" s="340">
        <f t="shared" si="55"/>
        <v>10900</v>
      </c>
      <c r="AN212" s="340">
        <f t="shared" si="56"/>
        <v>8200</v>
      </c>
      <c r="AO212" s="468"/>
      <c r="AP212" s="581">
        <f t="shared" si="46"/>
        <v>25.989084965805517</v>
      </c>
      <c r="AQ212" s="687">
        <v>43421.560000000005</v>
      </c>
      <c r="AR212" s="688">
        <v>103.5308818520938</v>
      </c>
      <c r="AS212" s="584">
        <v>52922</v>
      </c>
      <c r="AT212" s="585" t="s">
        <v>1770</v>
      </c>
      <c r="AU212" s="586" t="s">
        <v>1634</v>
      </c>
      <c r="AV212" s="607">
        <v>992070262</v>
      </c>
    </row>
    <row r="213" spans="1:48" ht="225" x14ac:dyDescent="0.25">
      <c r="A213" s="8">
        <v>198</v>
      </c>
      <c r="B213" s="568"/>
      <c r="C213" s="588" t="s">
        <v>762</v>
      </c>
      <c r="D213" s="577" t="s">
        <v>763</v>
      </c>
      <c r="E213" s="586" t="s">
        <v>1514</v>
      </c>
      <c r="F213" s="572">
        <v>6510700000</v>
      </c>
      <c r="G213" s="572" t="s">
        <v>765</v>
      </c>
      <c r="H213" s="572" t="s">
        <v>766</v>
      </c>
      <c r="I213" s="599" t="s">
        <v>628</v>
      </c>
      <c r="J213" s="577" t="s">
        <v>767</v>
      </c>
      <c r="K213" s="586" t="s">
        <v>756</v>
      </c>
      <c r="L213" s="577" t="s">
        <v>768</v>
      </c>
      <c r="M213" s="608" t="s">
        <v>769</v>
      </c>
      <c r="N213" s="577" t="s">
        <v>3294</v>
      </c>
      <c r="O213" s="577" t="s">
        <v>8</v>
      </c>
      <c r="P213" s="578">
        <v>4.7E-2</v>
      </c>
      <c r="Q213" s="579">
        <v>1889.18</v>
      </c>
      <c r="R213" s="579">
        <v>887914.6</v>
      </c>
      <c r="S213" s="579" t="s">
        <v>771</v>
      </c>
      <c r="T213" s="580"/>
      <c r="U213" s="609">
        <f t="shared" si="53"/>
        <v>39956.156999999999</v>
      </c>
      <c r="V213" s="609">
        <f t="shared" si="52"/>
        <v>39956.156999999999</v>
      </c>
      <c r="W213" s="582">
        <v>4.5</v>
      </c>
      <c r="X213" s="582">
        <f t="shared" si="54"/>
        <v>85.013099999999994</v>
      </c>
      <c r="Y213" s="582">
        <f t="shared" si="49"/>
        <v>3329.6797499999998</v>
      </c>
      <c r="Z213" s="807"/>
      <c r="AA213" s="754">
        <v>4000</v>
      </c>
      <c r="AB213" s="610">
        <v>8400</v>
      </c>
      <c r="AC213" s="611">
        <v>7135.1</v>
      </c>
      <c r="AD213" s="594"/>
      <c r="AE213" s="583"/>
      <c r="AF213" s="593"/>
      <c r="AG213" s="594"/>
      <c r="AH213" s="595"/>
      <c r="AI213" s="610"/>
      <c r="AJ213" s="596"/>
      <c r="AK213" s="597"/>
      <c r="AL213" s="612"/>
      <c r="AM213" s="340">
        <f t="shared" si="55"/>
        <v>19535.099999999999</v>
      </c>
      <c r="AN213" s="340">
        <f t="shared" si="56"/>
        <v>19535.099999999999</v>
      </c>
      <c r="AO213" s="468"/>
      <c r="AP213" s="582">
        <f t="shared" si="46"/>
        <v>48.891338573927413</v>
      </c>
      <c r="AQ213" s="687">
        <v>39978.39</v>
      </c>
      <c r="AR213" s="688">
        <v>100.05564348943768</v>
      </c>
      <c r="AS213" s="584">
        <v>52922</v>
      </c>
      <c r="AT213" s="585" t="s">
        <v>1771</v>
      </c>
      <c r="AU213" s="586" t="s">
        <v>1713</v>
      </c>
      <c r="AV213" s="587"/>
    </row>
    <row r="214" spans="1:48" ht="300" x14ac:dyDescent="0.25">
      <c r="A214" s="8">
        <v>199</v>
      </c>
      <c r="B214" s="568"/>
      <c r="C214" s="588" t="s">
        <v>762</v>
      </c>
      <c r="D214" s="577" t="s">
        <v>763</v>
      </c>
      <c r="E214" s="586" t="s">
        <v>1514</v>
      </c>
      <c r="F214" s="568">
        <v>6510700000</v>
      </c>
      <c r="G214" s="568" t="s">
        <v>772</v>
      </c>
      <c r="H214" s="568" t="s">
        <v>773</v>
      </c>
      <c r="I214" s="586" t="s">
        <v>50</v>
      </c>
      <c r="J214" s="589" t="s">
        <v>774</v>
      </c>
      <c r="K214" s="590" t="s">
        <v>1516</v>
      </c>
      <c r="L214" s="589" t="s">
        <v>775</v>
      </c>
      <c r="M214" s="591" t="s">
        <v>776</v>
      </c>
      <c r="N214" s="589" t="s">
        <v>3291</v>
      </c>
      <c r="O214" s="577" t="s">
        <v>8</v>
      </c>
      <c r="P214" s="578">
        <v>6.4000000000000003E-3</v>
      </c>
      <c r="Q214" s="579">
        <f>R214/64</f>
        <v>528.98</v>
      </c>
      <c r="R214" s="579">
        <v>33854.720000000001</v>
      </c>
      <c r="S214" s="579" t="s">
        <v>3292</v>
      </c>
      <c r="T214" s="580"/>
      <c r="U214" s="581">
        <f t="shared" si="53"/>
        <v>3724.0192000000002</v>
      </c>
      <c r="V214" s="581">
        <f t="shared" si="52"/>
        <v>3724.0192000000002</v>
      </c>
      <c r="W214" s="581">
        <v>11</v>
      </c>
      <c r="X214" s="581">
        <f t="shared" si="54"/>
        <v>58.187800000000003</v>
      </c>
      <c r="Y214" s="581">
        <f t="shared" si="49"/>
        <v>310.33493333333337</v>
      </c>
      <c r="Z214" s="840"/>
      <c r="AA214" s="597">
        <v>2000</v>
      </c>
      <c r="AB214" s="592">
        <v>1761</v>
      </c>
      <c r="AC214" s="611"/>
      <c r="AD214" s="594"/>
      <c r="AE214" s="583"/>
      <c r="AF214" s="593"/>
      <c r="AG214" s="594"/>
      <c r="AH214" s="595"/>
      <c r="AI214" s="592"/>
      <c r="AJ214" s="596"/>
      <c r="AK214" s="597"/>
      <c r="AL214" s="598"/>
      <c r="AM214" s="340">
        <f t="shared" si="55"/>
        <v>3761</v>
      </c>
      <c r="AN214" s="340">
        <f t="shared" si="56"/>
        <v>3761</v>
      </c>
      <c r="AO214" s="468"/>
      <c r="AP214" s="581">
        <f t="shared" si="46"/>
        <v>100.99303462237788</v>
      </c>
      <c r="AQ214" s="687">
        <v>13299.830000000002</v>
      </c>
      <c r="AR214" s="688">
        <v>100.00002105290513</v>
      </c>
      <c r="AS214" s="584">
        <v>52922</v>
      </c>
      <c r="AT214" s="585" t="s">
        <v>1772</v>
      </c>
      <c r="AU214" s="586" t="s">
        <v>1676</v>
      </c>
    </row>
    <row r="215" spans="1:48" ht="206.25" x14ac:dyDescent="0.25">
      <c r="A215" s="8">
        <v>200</v>
      </c>
      <c r="B215" s="9">
        <v>125</v>
      </c>
      <c r="C215" s="277" t="s">
        <v>3081</v>
      </c>
      <c r="D215" s="278" t="s">
        <v>2342</v>
      </c>
      <c r="E215" s="267" t="s">
        <v>2343</v>
      </c>
      <c r="F215" s="266">
        <v>6510700000</v>
      </c>
      <c r="G215" s="266" t="s">
        <v>2344</v>
      </c>
      <c r="H215" s="270" t="s">
        <v>2345</v>
      </c>
      <c r="I215" s="293" t="s">
        <v>2346</v>
      </c>
      <c r="J215" s="433" t="s">
        <v>2348</v>
      </c>
      <c r="K215" s="434" t="s">
        <v>2349</v>
      </c>
      <c r="L215" s="433" t="s">
        <v>2347</v>
      </c>
      <c r="M215" s="492" t="s">
        <v>2350</v>
      </c>
      <c r="N215" s="433"/>
      <c r="O215" s="265" t="s">
        <v>8</v>
      </c>
      <c r="P215" s="268">
        <v>0.31919999999999998</v>
      </c>
      <c r="Q215" s="269">
        <f>R215/3192</f>
        <v>826.52</v>
      </c>
      <c r="R215" s="269">
        <v>2638251.84</v>
      </c>
      <c r="S215" s="269" t="s">
        <v>2351</v>
      </c>
      <c r="T215" s="374">
        <v>34132.379999999997</v>
      </c>
      <c r="U215" s="349">
        <v>34132.379999999997</v>
      </c>
      <c r="V215" s="349">
        <f t="shared" si="52"/>
        <v>34132.379999999997</v>
      </c>
      <c r="W215" s="349">
        <v>1.294</v>
      </c>
      <c r="X215" s="349">
        <f>U215/(P215*10000)</f>
        <v>10.693101503759397</v>
      </c>
      <c r="Y215" s="349">
        <f t="shared" si="49"/>
        <v>2844.3649999999998</v>
      </c>
      <c r="Z215" s="840"/>
      <c r="AA215" s="475"/>
      <c r="AB215" s="410"/>
      <c r="AC215" s="408"/>
      <c r="AD215" s="486"/>
      <c r="AE215" s="410"/>
      <c r="AF215" s="475"/>
      <c r="AG215" s="486"/>
      <c r="AH215" s="504"/>
      <c r="AI215" s="410"/>
      <c r="AJ215" s="560"/>
      <c r="AK215" s="475"/>
      <c r="AL215" s="561"/>
      <c r="AM215" s="340">
        <f t="shared" si="55"/>
        <v>0</v>
      </c>
      <c r="AN215" s="340">
        <f t="shared" si="56"/>
        <v>0</v>
      </c>
      <c r="AO215" s="468"/>
      <c r="AP215" s="349">
        <f t="shared" ref="AP215:AP278" si="57">AM215*100/V215</f>
        <v>0</v>
      </c>
      <c r="AQ215" s="690">
        <v>24288.799999999999</v>
      </c>
      <c r="AR215" s="695">
        <v>112.16819502805728</v>
      </c>
      <c r="AS215" s="310" t="s">
        <v>2552</v>
      </c>
      <c r="AT215" s="377" t="s">
        <v>2352</v>
      </c>
      <c r="AU215" s="267" t="s">
        <v>1634</v>
      </c>
      <c r="AV215" s="242"/>
    </row>
    <row r="216" spans="1:48" ht="206.25" x14ac:dyDescent="0.25">
      <c r="A216" s="8">
        <v>201</v>
      </c>
      <c r="B216" s="266"/>
      <c r="C216" s="277" t="s">
        <v>3081</v>
      </c>
      <c r="D216" s="278" t="s">
        <v>2342</v>
      </c>
      <c r="E216" s="267" t="s">
        <v>2343</v>
      </c>
      <c r="F216" s="270">
        <v>6510700000</v>
      </c>
      <c r="G216" s="270" t="s">
        <v>3082</v>
      </c>
      <c r="H216" s="270" t="s">
        <v>3083</v>
      </c>
      <c r="I216" s="293" t="s">
        <v>3084</v>
      </c>
      <c r="J216" s="433" t="s">
        <v>3085</v>
      </c>
      <c r="K216" s="434" t="s">
        <v>3055</v>
      </c>
      <c r="L216" s="433" t="s">
        <v>3086</v>
      </c>
      <c r="M216" s="492">
        <v>43742</v>
      </c>
      <c r="N216" s="433"/>
      <c r="O216" s="265" t="s">
        <v>8</v>
      </c>
      <c r="P216" s="268">
        <v>3.1E-2</v>
      </c>
      <c r="Q216" s="269">
        <f>R216/310</f>
        <v>546.23</v>
      </c>
      <c r="R216" s="269">
        <v>169331.3</v>
      </c>
      <c r="S216" s="269" t="s">
        <v>3087</v>
      </c>
      <c r="T216" s="374">
        <v>6197.54</v>
      </c>
      <c r="U216" s="349">
        <v>6197.54</v>
      </c>
      <c r="V216" s="349">
        <f t="shared" si="52"/>
        <v>6197.54</v>
      </c>
      <c r="W216" s="349">
        <v>3.66</v>
      </c>
      <c r="X216" s="349">
        <f>U216/(P216*10000)</f>
        <v>19.992064516129034</v>
      </c>
      <c r="Y216" s="349">
        <f t="shared" si="49"/>
        <v>516.4616666666667</v>
      </c>
      <c r="Z216" s="840"/>
      <c r="AA216" s="475"/>
      <c r="AB216" s="410"/>
      <c r="AC216" s="408"/>
      <c r="AD216" s="486"/>
      <c r="AE216" s="410"/>
      <c r="AF216" s="475"/>
      <c r="AG216" s="486"/>
      <c r="AH216" s="504"/>
      <c r="AI216" s="774"/>
      <c r="AJ216" s="560"/>
      <c r="AK216" s="475"/>
      <c r="AL216" s="561"/>
      <c r="AM216" s="340">
        <f t="shared" si="55"/>
        <v>0</v>
      </c>
      <c r="AN216" s="340">
        <f t="shared" si="56"/>
        <v>0</v>
      </c>
      <c r="AO216" s="468"/>
      <c r="AP216" s="349">
        <f t="shared" si="57"/>
        <v>0</v>
      </c>
      <c r="AQ216" s="690">
        <v>0</v>
      </c>
      <c r="AR216" s="695">
        <v>0</v>
      </c>
      <c r="AS216" s="310">
        <v>45555</v>
      </c>
      <c r="AT216" s="377" t="s">
        <v>2352</v>
      </c>
      <c r="AU216" s="267" t="s">
        <v>1634</v>
      </c>
      <c r="AV216" s="1"/>
    </row>
    <row r="217" spans="1:48" ht="206.25" x14ac:dyDescent="0.25">
      <c r="A217" s="8">
        <v>202</v>
      </c>
      <c r="B217" s="569">
        <v>126</v>
      </c>
      <c r="C217" s="570" t="s">
        <v>2797</v>
      </c>
      <c r="D217" s="571" t="s">
        <v>777</v>
      </c>
      <c r="E217" s="568" t="s">
        <v>1517</v>
      </c>
      <c r="F217" s="572">
        <v>6510700000</v>
      </c>
      <c r="G217" s="572" t="s">
        <v>778</v>
      </c>
      <c r="H217" s="572" t="s">
        <v>779</v>
      </c>
      <c r="I217" s="573" t="s">
        <v>50</v>
      </c>
      <c r="J217" s="574" t="s">
        <v>780</v>
      </c>
      <c r="K217" s="575" t="s">
        <v>1516</v>
      </c>
      <c r="L217" s="574" t="s">
        <v>781</v>
      </c>
      <c r="M217" s="576" t="s">
        <v>776</v>
      </c>
      <c r="N217" s="574" t="s">
        <v>3291</v>
      </c>
      <c r="O217" s="577" t="s">
        <v>8</v>
      </c>
      <c r="P217" s="578">
        <v>1.2200000000000001E-2</v>
      </c>
      <c r="Q217" s="579">
        <f>R217/122</f>
        <v>528.98</v>
      </c>
      <c r="R217" s="579">
        <v>64535.56</v>
      </c>
      <c r="S217" s="577" t="s">
        <v>3289</v>
      </c>
      <c r="T217" s="580"/>
      <c r="U217" s="581">
        <f>R217*W217%</f>
        <v>5162.8447999999999</v>
      </c>
      <c r="V217" s="582">
        <f t="shared" si="52"/>
        <v>5162.8447999999999</v>
      </c>
      <c r="W217" s="582">
        <v>8</v>
      </c>
      <c r="X217" s="582">
        <f>V217/(P217*10000)</f>
        <v>42.318399999999997</v>
      </c>
      <c r="Y217" s="582">
        <f t="shared" si="49"/>
        <v>430.23706666666664</v>
      </c>
      <c r="Z217" s="807"/>
      <c r="AA217" s="754"/>
      <c r="AB217" s="610">
        <v>1152</v>
      </c>
      <c r="AC217" s="611"/>
      <c r="AD217" s="594">
        <v>430.24</v>
      </c>
      <c r="AE217" s="583"/>
      <c r="AF217" s="593"/>
      <c r="AG217" s="594"/>
      <c r="AH217" s="595"/>
      <c r="AI217" s="610"/>
      <c r="AJ217" s="596"/>
      <c r="AK217" s="597"/>
      <c r="AL217" s="612"/>
      <c r="AM217" s="340">
        <f t="shared" si="55"/>
        <v>1582.24</v>
      </c>
      <c r="AN217" s="340">
        <f t="shared" si="56"/>
        <v>1582.24</v>
      </c>
      <c r="AO217" s="468"/>
      <c r="AP217" s="582">
        <f t="shared" si="57"/>
        <v>30.646669835978802</v>
      </c>
      <c r="AQ217" s="687">
        <v>7491.0800000000008</v>
      </c>
      <c r="AR217" s="688">
        <v>108.34029416989951</v>
      </c>
      <c r="AS217" s="584" t="s">
        <v>3290</v>
      </c>
      <c r="AT217" s="585" t="s">
        <v>1773</v>
      </c>
      <c r="AU217" s="586" t="s">
        <v>1676</v>
      </c>
      <c r="AV217" s="587"/>
    </row>
    <row r="218" spans="1:48" ht="168.75" x14ac:dyDescent="0.25">
      <c r="A218" s="8">
        <v>203</v>
      </c>
      <c r="B218" s="9">
        <v>127</v>
      </c>
      <c r="C218" s="97" t="s">
        <v>2798</v>
      </c>
      <c r="D218" s="14" t="s">
        <v>2955</v>
      </c>
      <c r="E218" s="9" t="s">
        <v>1518</v>
      </c>
      <c r="F218" s="19">
        <v>6510700000</v>
      </c>
      <c r="G218" s="19" t="s">
        <v>782</v>
      </c>
      <c r="H218" s="19" t="s">
        <v>783</v>
      </c>
      <c r="I218" s="13"/>
      <c r="J218" s="10" t="s">
        <v>784</v>
      </c>
      <c r="K218" s="13"/>
      <c r="L218" s="10">
        <v>51</v>
      </c>
      <c r="M218" s="20" t="s">
        <v>784</v>
      </c>
      <c r="N218" s="10"/>
      <c r="O218" s="10" t="s">
        <v>8</v>
      </c>
      <c r="P218" s="90">
        <v>3.39E-2</v>
      </c>
      <c r="Q218" s="68"/>
      <c r="R218" s="12">
        <v>0</v>
      </c>
      <c r="S218" s="9"/>
      <c r="T218" s="368"/>
      <c r="U218" s="336">
        <f>R218*W218%</f>
        <v>0</v>
      </c>
      <c r="V218" s="333">
        <f t="shared" si="52"/>
        <v>0</v>
      </c>
      <c r="W218" s="333">
        <v>0.5</v>
      </c>
      <c r="X218" s="333">
        <f>V218/(P218*10000)</f>
        <v>0</v>
      </c>
      <c r="Y218" s="333">
        <f t="shared" si="49"/>
        <v>0</v>
      </c>
      <c r="Z218" s="807"/>
      <c r="AA218" s="711"/>
      <c r="AB218" s="340"/>
      <c r="AC218" s="406"/>
      <c r="AD218" s="459"/>
      <c r="AE218" s="421"/>
      <c r="AF218" s="463"/>
      <c r="AG218" s="459"/>
      <c r="AH218" s="503"/>
      <c r="AI218" s="340"/>
      <c r="AJ218" s="740"/>
      <c r="AK218" s="741"/>
      <c r="AL218" s="732"/>
      <c r="AM218" s="340">
        <f t="shared" si="55"/>
        <v>0</v>
      </c>
      <c r="AN218" s="340">
        <f t="shared" si="56"/>
        <v>0</v>
      </c>
      <c r="AO218" s="468"/>
      <c r="AP218" s="333" t="e">
        <f t="shared" si="57"/>
        <v>#DIV/0!</v>
      </c>
      <c r="AQ218" s="192">
        <v>0</v>
      </c>
      <c r="AR218" s="416" t="e">
        <v>#DIV/0!</v>
      </c>
      <c r="AS218" s="140">
        <v>57245</v>
      </c>
      <c r="AT218" s="20" t="s">
        <v>1774</v>
      </c>
      <c r="AU218" s="13"/>
    </row>
    <row r="219" spans="1:48" ht="150" x14ac:dyDescent="0.25">
      <c r="A219" s="8">
        <v>204</v>
      </c>
      <c r="B219" s="9">
        <v>128</v>
      </c>
      <c r="C219" s="119" t="s">
        <v>1853</v>
      </c>
      <c r="D219" s="120" t="s">
        <v>1935</v>
      </c>
      <c r="E219" s="115">
        <v>258610712</v>
      </c>
      <c r="F219" s="110">
        <v>6510700000</v>
      </c>
      <c r="G219" s="110" t="s">
        <v>785</v>
      </c>
      <c r="H219" s="110" t="s">
        <v>2688</v>
      </c>
      <c r="I219" s="111" t="s">
        <v>2692</v>
      </c>
      <c r="J219" s="109" t="s">
        <v>2689</v>
      </c>
      <c r="K219" s="113" t="s">
        <v>2693</v>
      </c>
      <c r="L219" s="109" t="s">
        <v>2690</v>
      </c>
      <c r="M219" s="112">
        <v>42552</v>
      </c>
      <c r="N219" s="109" t="s">
        <v>2915</v>
      </c>
      <c r="O219" s="109" t="s">
        <v>8</v>
      </c>
      <c r="P219" s="114">
        <v>0.435</v>
      </c>
      <c r="Q219" s="107">
        <f>R219/4350</f>
        <v>457.79</v>
      </c>
      <c r="R219" s="107">
        <v>1991386.5</v>
      </c>
      <c r="S219" s="115" t="s">
        <v>2691</v>
      </c>
      <c r="T219" s="369"/>
      <c r="U219" s="344">
        <v>25693.48</v>
      </c>
      <c r="V219" s="344">
        <v>25693.48</v>
      </c>
      <c r="W219" s="344">
        <v>1.05</v>
      </c>
      <c r="X219" s="345">
        <f>V219/(P219*10000)</f>
        <v>5.9065471264367817</v>
      </c>
      <c r="Y219" s="345">
        <f t="shared" si="49"/>
        <v>2141.1233333333334</v>
      </c>
      <c r="Z219" s="807"/>
      <c r="AA219" s="852"/>
      <c r="AB219" s="359">
        <v>2138</v>
      </c>
      <c r="AC219" s="407"/>
      <c r="AD219" s="483"/>
      <c r="AE219" s="422"/>
      <c r="AF219" s="462"/>
      <c r="AG219" s="483"/>
      <c r="AH219" s="502"/>
      <c r="AI219" s="359"/>
      <c r="AJ219" s="751"/>
      <c r="AK219" s="529"/>
      <c r="AL219" s="752"/>
      <c r="AM219" s="340">
        <f t="shared" si="55"/>
        <v>2138</v>
      </c>
      <c r="AN219" s="340">
        <f t="shared" si="56"/>
        <v>2138</v>
      </c>
      <c r="AO219" s="468"/>
      <c r="AP219" s="345">
        <f t="shared" si="57"/>
        <v>8.3211772013756029</v>
      </c>
      <c r="AQ219" s="521">
        <v>20899.72</v>
      </c>
      <c r="AR219" s="523">
        <v>81.342504012691165</v>
      </c>
      <c r="AS219" s="164">
        <v>44648</v>
      </c>
      <c r="AT219" s="125" t="s">
        <v>1775</v>
      </c>
      <c r="AU219" s="113" t="s">
        <v>1634</v>
      </c>
    </row>
    <row r="220" spans="1:48" ht="131.25" x14ac:dyDescent="0.25">
      <c r="A220" s="8">
        <v>207</v>
      </c>
      <c r="B220" s="266">
        <v>130</v>
      </c>
      <c r="C220" s="119" t="s">
        <v>1944</v>
      </c>
      <c r="D220" s="120" t="s">
        <v>1945</v>
      </c>
      <c r="E220" s="115">
        <v>1981202309</v>
      </c>
      <c r="F220" s="110">
        <v>6510700000</v>
      </c>
      <c r="G220" s="110" t="s">
        <v>787</v>
      </c>
      <c r="H220" s="110" t="s">
        <v>788</v>
      </c>
      <c r="I220" s="113" t="s">
        <v>120</v>
      </c>
      <c r="J220" s="121" t="s">
        <v>1964</v>
      </c>
      <c r="K220" s="111" t="s">
        <v>1965</v>
      </c>
      <c r="L220" s="121" t="s">
        <v>1966</v>
      </c>
      <c r="M220" s="126" t="s">
        <v>1967</v>
      </c>
      <c r="N220" s="121"/>
      <c r="O220" s="109" t="s">
        <v>8</v>
      </c>
      <c r="P220" s="114">
        <v>3.0000000000000001E-3</v>
      </c>
      <c r="Q220" s="107">
        <v>931.19</v>
      </c>
      <c r="R220" s="107">
        <v>27935.7</v>
      </c>
      <c r="S220" s="107" t="s">
        <v>1963</v>
      </c>
      <c r="T220" s="369"/>
      <c r="U220" s="354">
        <f>R220*W220%</f>
        <v>3072.9270000000001</v>
      </c>
      <c r="V220" s="347">
        <f t="shared" ref="V220:V225" si="58">U220</f>
        <v>3072.9270000000001</v>
      </c>
      <c r="W220" s="347">
        <v>11</v>
      </c>
      <c r="X220" s="333">
        <f t="shared" ref="X220:X229" si="59">V220/(P220*10000)</f>
        <v>102.43090000000001</v>
      </c>
      <c r="Y220" s="333">
        <f t="shared" si="49"/>
        <v>256.07724999999999</v>
      </c>
      <c r="Z220" s="807"/>
      <c r="AA220" s="711">
        <v>256.10000000000002</v>
      </c>
      <c r="AB220" s="340">
        <v>256.10000000000002</v>
      </c>
      <c r="AC220" s="406">
        <v>256.10000000000002</v>
      </c>
      <c r="AD220" s="1117">
        <v>256.10000000000002</v>
      </c>
      <c r="AE220" s="421"/>
      <c r="AF220" s="463"/>
      <c r="AG220" s="459"/>
      <c r="AH220" s="503"/>
      <c r="AI220" s="340"/>
      <c r="AJ220" s="740"/>
      <c r="AK220" s="741"/>
      <c r="AL220" s="732"/>
      <c r="AM220" s="340">
        <f t="shared" si="55"/>
        <v>1024.4000000000001</v>
      </c>
      <c r="AN220" s="340">
        <f t="shared" si="56"/>
        <v>1024.4000000000001</v>
      </c>
      <c r="AO220" s="468"/>
      <c r="AP220" s="333">
        <f t="shared" si="57"/>
        <v>33.336294679307386</v>
      </c>
      <c r="AQ220" s="521">
        <v>1690.16</v>
      </c>
      <c r="AR220" s="523">
        <v>55.001631994512067</v>
      </c>
      <c r="AS220" s="164" t="s">
        <v>3420</v>
      </c>
      <c r="AT220" s="118" t="s">
        <v>1752</v>
      </c>
      <c r="AU220" s="113" t="s">
        <v>1634</v>
      </c>
      <c r="AV220" s="312"/>
    </row>
    <row r="221" spans="1:48" ht="112.5" x14ac:dyDescent="0.25">
      <c r="A221" s="8">
        <v>208</v>
      </c>
      <c r="B221" s="9">
        <v>131</v>
      </c>
      <c r="C221" s="119" t="s">
        <v>2399</v>
      </c>
      <c r="D221" s="120" t="s">
        <v>789</v>
      </c>
      <c r="E221" s="109">
        <v>2612806165</v>
      </c>
      <c r="F221" s="110">
        <v>6510700000</v>
      </c>
      <c r="G221" s="110" t="s">
        <v>790</v>
      </c>
      <c r="H221" s="110" t="s">
        <v>791</v>
      </c>
      <c r="I221" s="111" t="s">
        <v>792</v>
      </c>
      <c r="J221" s="126" t="s">
        <v>1875</v>
      </c>
      <c r="K221" s="111" t="s">
        <v>1467</v>
      </c>
      <c r="L221" s="126">
        <v>43159</v>
      </c>
      <c r="M221" s="126"/>
      <c r="N221" s="126" t="s">
        <v>1858</v>
      </c>
      <c r="O221" s="109" t="s">
        <v>8</v>
      </c>
      <c r="P221" s="114">
        <v>1.2200000000000001E-2</v>
      </c>
      <c r="Q221" s="107">
        <v>931.19</v>
      </c>
      <c r="R221" s="107">
        <v>113605.18</v>
      </c>
      <c r="S221" s="107" t="s">
        <v>793</v>
      </c>
      <c r="T221" s="369"/>
      <c r="U221" s="353">
        <f>R221*W221%</f>
        <v>11360.518</v>
      </c>
      <c r="V221" s="353">
        <f t="shared" si="58"/>
        <v>11360.518</v>
      </c>
      <c r="W221" s="353">
        <v>10</v>
      </c>
      <c r="X221" s="339">
        <f t="shared" si="59"/>
        <v>93.118999999999986</v>
      </c>
      <c r="Y221" s="333">
        <f t="shared" si="49"/>
        <v>946.70983333333334</v>
      </c>
      <c r="Z221" s="807"/>
      <c r="AA221" s="852">
        <v>1581.3</v>
      </c>
      <c r="AB221" s="359"/>
      <c r="AC221" s="407"/>
      <c r="AD221" s="483"/>
      <c r="AE221" s="422"/>
      <c r="AF221" s="462"/>
      <c r="AG221" s="483"/>
      <c r="AH221" s="502"/>
      <c r="AI221" s="359"/>
      <c r="AJ221" s="751"/>
      <c r="AK221" s="529"/>
      <c r="AL221" s="752"/>
      <c r="AM221" s="340">
        <f t="shared" si="55"/>
        <v>1581.3</v>
      </c>
      <c r="AN221" s="340">
        <f t="shared" si="56"/>
        <v>1581.3</v>
      </c>
      <c r="AO221" s="468"/>
      <c r="AP221" s="333">
        <f t="shared" si="57"/>
        <v>13.919259667560933</v>
      </c>
      <c r="AQ221" s="521">
        <v>10678.560000000001</v>
      </c>
      <c r="AR221" s="523">
        <v>93.997122314317025</v>
      </c>
      <c r="AS221" s="164" t="s">
        <v>2592</v>
      </c>
      <c r="AT221" s="118" t="s">
        <v>1776</v>
      </c>
      <c r="AU221" s="113" t="s">
        <v>1713</v>
      </c>
    </row>
    <row r="222" spans="1:48" ht="131.25" x14ac:dyDescent="0.25">
      <c r="A222" s="8">
        <v>209</v>
      </c>
      <c r="B222" s="9"/>
      <c r="C222" s="98" t="s">
        <v>2399</v>
      </c>
      <c r="D222" s="17" t="s">
        <v>789</v>
      </c>
      <c r="E222" s="10">
        <v>2612806165</v>
      </c>
      <c r="F222" s="19">
        <v>6510700000</v>
      </c>
      <c r="G222" s="19" t="s">
        <v>794</v>
      </c>
      <c r="H222" s="19" t="s">
        <v>1854</v>
      </c>
      <c r="I222" s="75"/>
      <c r="J222" s="60" t="s">
        <v>2828</v>
      </c>
      <c r="K222" s="75"/>
      <c r="L222" s="33" t="s">
        <v>2827</v>
      </c>
      <c r="M222" s="60">
        <v>41575</v>
      </c>
      <c r="N222" s="33"/>
      <c r="O222" s="10" t="s">
        <v>8</v>
      </c>
      <c r="P222" s="27">
        <v>3.5000000000000001E-3</v>
      </c>
      <c r="Q222" s="12">
        <f>R222/35</f>
        <v>655.47</v>
      </c>
      <c r="R222" s="12">
        <v>22941.45</v>
      </c>
      <c r="S222" s="68" t="s">
        <v>3424</v>
      </c>
      <c r="T222" s="367"/>
      <c r="U222" s="343">
        <f>R222*W222%</f>
        <v>2523.5595000000003</v>
      </c>
      <c r="V222" s="339">
        <f t="shared" si="58"/>
        <v>2523.5595000000003</v>
      </c>
      <c r="W222" s="339">
        <v>11</v>
      </c>
      <c r="X222" s="339">
        <f t="shared" si="59"/>
        <v>72.101700000000008</v>
      </c>
      <c r="Y222" s="333">
        <f t="shared" si="49"/>
        <v>210.29662500000003</v>
      </c>
      <c r="Z222" s="807"/>
      <c r="AA222" s="711"/>
      <c r="AB222" s="340"/>
      <c r="AC222" s="406"/>
      <c r="AD222" s="459">
        <v>1582</v>
      </c>
      <c r="AE222" s="421"/>
      <c r="AF222" s="463"/>
      <c r="AG222" s="459"/>
      <c r="AH222" s="503"/>
      <c r="AI222" s="340"/>
      <c r="AJ222" s="740"/>
      <c r="AK222" s="741"/>
      <c r="AL222" s="732"/>
      <c r="AM222" s="340">
        <f t="shared" si="55"/>
        <v>1582</v>
      </c>
      <c r="AN222" s="340">
        <f t="shared" si="56"/>
        <v>1582</v>
      </c>
      <c r="AO222" s="468"/>
      <c r="AP222" s="333">
        <f t="shared" si="57"/>
        <v>62.689229241474187</v>
      </c>
      <c r="AQ222" s="192">
        <v>2635.96</v>
      </c>
      <c r="AR222" s="416">
        <v>104.4524524112002</v>
      </c>
      <c r="AS222" s="140">
        <v>44089</v>
      </c>
      <c r="AT222" s="64" t="s">
        <v>1643</v>
      </c>
      <c r="AU222" s="13" t="s">
        <v>1713</v>
      </c>
    </row>
    <row r="223" spans="1:48" ht="206.25" x14ac:dyDescent="0.25">
      <c r="A223" s="8">
        <v>210</v>
      </c>
      <c r="B223" s="115"/>
      <c r="C223" s="119" t="s">
        <v>2399</v>
      </c>
      <c r="D223" s="120" t="s">
        <v>789</v>
      </c>
      <c r="E223" s="109">
        <v>2612806165</v>
      </c>
      <c r="F223" s="110">
        <v>6510700000</v>
      </c>
      <c r="G223" s="110" t="s">
        <v>795</v>
      </c>
      <c r="H223" s="110" t="s">
        <v>3394</v>
      </c>
      <c r="I223" s="111" t="s">
        <v>3395</v>
      </c>
      <c r="J223" s="109" t="s">
        <v>2400</v>
      </c>
      <c r="K223" s="113" t="s">
        <v>3396</v>
      </c>
      <c r="L223" s="109" t="s">
        <v>2401</v>
      </c>
      <c r="M223" s="112">
        <v>41927</v>
      </c>
      <c r="N223" s="109" t="s">
        <v>3398</v>
      </c>
      <c r="O223" s="109" t="s">
        <v>8</v>
      </c>
      <c r="P223" s="122">
        <v>1.6199999999999999E-2</v>
      </c>
      <c r="Q223" s="123">
        <v>525.41999999999996</v>
      </c>
      <c r="R223" s="107">
        <v>85118.04</v>
      </c>
      <c r="S223" s="107" t="s">
        <v>3397</v>
      </c>
      <c r="T223" s="369"/>
      <c r="U223" s="353">
        <f>R223*W223%</f>
        <v>8086.2137999999995</v>
      </c>
      <c r="V223" s="353">
        <f t="shared" si="58"/>
        <v>8086.2137999999995</v>
      </c>
      <c r="W223" s="353">
        <v>9.5</v>
      </c>
      <c r="X223" s="353">
        <f t="shared" si="59"/>
        <v>49.914899999999996</v>
      </c>
      <c r="Y223" s="345">
        <f t="shared" si="49"/>
        <v>673.85114999999996</v>
      </c>
      <c r="Z223" s="807"/>
      <c r="AA223" s="852"/>
      <c r="AB223" s="359"/>
      <c r="AC223" s="407"/>
      <c r="AD223" s="483"/>
      <c r="AE223" s="422"/>
      <c r="AF223" s="462"/>
      <c r="AG223" s="483"/>
      <c r="AH223" s="502"/>
      <c r="AI223" s="359"/>
      <c r="AJ223" s="751"/>
      <c r="AK223" s="529"/>
      <c r="AL223" s="752"/>
      <c r="AM223" s="340">
        <f t="shared" si="55"/>
        <v>0</v>
      </c>
      <c r="AN223" s="340">
        <f t="shared" si="56"/>
        <v>0</v>
      </c>
      <c r="AO223" s="468"/>
      <c r="AP223" s="345">
        <f t="shared" si="57"/>
        <v>0</v>
      </c>
      <c r="AQ223" s="521">
        <v>4217.26</v>
      </c>
      <c r="AR223" s="523">
        <v>82.832349960324635</v>
      </c>
      <c r="AS223" s="725">
        <v>44739</v>
      </c>
      <c r="AT223" s="125" t="s">
        <v>1777</v>
      </c>
      <c r="AU223" s="113" t="s">
        <v>1634</v>
      </c>
      <c r="AV223" s="726"/>
    </row>
    <row r="224" spans="1:48" ht="168.75" x14ac:dyDescent="0.25">
      <c r="A224" s="8">
        <v>211</v>
      </c>
      <c r="B224" s="9">
        <v>132</v>
      </c>
      <c r="C224" s="277" t="s">
        <v>1986</v>
      </c>
      <c r="D224" s="278" t="s">
        <v>796</v>
      </c>
      <c r="E224" s="266">
        <v>2428101833</v>
      </c>
      <c r="F224" s="270">
        <v>6510700000</v>
      </c>
      <c r="G224" s="270" t="s">
        <v>797</v>
      </c>
      <c r="H224" s="270" t="s">
        <v>798</v>
      </c>
      <c r="I224" s="271" t="s">
        <v>799</v>
      </c>
      <c r="J224" s="265" t="s">
        <v>800</v>
      </c>
      <c r="K224" s="267" t="s">
        <v>1520</v>
      </c>
      <c r="L224" s="265" t="s">
        <v>801</v>
      </c>
      <c r="M224" s="283" t="s">
        <v>1521</v>
      </c>
      <c r="N224" s="265"/>
      <c r="O224" s="265" t="s">
        <v>8</v>
      </c>
      <c r="P224" s="281">
        <v>0.06</v>
      </c>
      <c r="Q224" s="282">
        <v>184.57</v>
      </c>
      <c r="R224" s="269">
        <v>110742</v>
      </c>
      <c r="S224" s="269" t="s">
        <v>1987</v>
      </c>
      <c r="T224" s="374"/>
      <c r="U224" s="349">
        <v>10024.98</v>
      </c>
      <c r="V224" s="350">
        <f t="shared" si="58"/>
        <v>10024.98</v>
      </c>
      <c r="W224" s="350">
        <v>9.0530000000000008</v>
      </c>
      <c r="X224" s="333">
        <f t="shared" si="59"/>
        <v>16.708299999999998</v>
      </c>
      <c r="Y224" s="333">
        <f t="shared" si="49"/>
        <v>835.41499999999996</v>
      </c>
      <c r="Z224" s="807"/>
      <c r="AA224" s="711"/>
      <c r="AB224" s="340"/>
      <c r="AC224" s="406"/>
      <c r="AD224" s="459"/>
      <c r="AE224" s="421"/>
      <c r="AF224" s="463"/>
      <c r="AG224" s="459"/>
      <c r="AH224" s="503"/>
      <c r="AI224" s="340"/>
      <c r="AJ224" s="740"/>
      <c r="AK224" s="741"/>
      <c r="AL224" s="732"/>
      <c r="AM224" s="340">
        <f t="shared" si="55"/>
        <v>0</v>
      </c>
      <c r="AN224" s="340">
        <f t="shared" si="56"/>
        <v>0</v>
      </c>
      <c r="AO224" s="468"/>
      <c r="AP224" s="333">
        <f t="shared" si="57"/>
        <v>0</v>
      </c>
      <c r="AQ224" s="192">
        <v>10022.15</v>
      </c>
      <c r="AR224" s="416">
        <v>99.971770517247919</v>
      </c>
      <c r="AS224" s="140" t="s">
        <v>2598</v>
      </c>
      <c r="AT224" s="60" t="s">
        <v>1778</v>
      </c>
      <c r="AU224" s="13" t="s">
        <v>1779</v>
      </c>
      <c r="AV224" s="1"/>
    </row>
    <row r="225" spans="1:49" ht="150" x14ac:dyDescent="0.25">
      <c r="A225" s="8">
        <v>212</v>
      </c>
      <c r="B225" s="266">
        <v>133</v>
      </c>
      <c r="C225" s="119" t="s">
        <v>802</v>
      </c>
      <c r="D225" s="120" t="s">
        <v>803</v>
      </c>
      <c r="E225" s="115">
        <v>2785220333</v>
      </c>
      <c r="F225" s="110">
        <v>6510700000</v>
      </c>
      <c r="G225" s="110" t="s">
        <v>137</v>
      </c>
      <c r="H225" s="110" t="s">
        <v>804</v>
      </c>
      <c r="I225" s="111" t="s">
        <v>628</v>
      </c>
      <c r="J225" s="113" t="s">
        <v>805</v>
      </c>
      <c r="K225" s="113" t="s">
        <v>806</v>
      </c>
      <c r="L225" s="113" t="s">
        <v>807</v>
      </c>
      <c r="M225" s="112" t="s">
        <v>806</v>
      </c>
      <c r="N225" s="113" t="s">
        <v>808</v>
      </c>
      <c r="O225" s="109" t="s">
        <v>8</v>
      </c>
      <c r="P225" s="114">
        <v>2E-3</v>
      </c>
      <c r="Q225" s="107">
        <v>2258.81</v>
      </c>
      <c r="R225" s="107">
        <v>45176.2</v>
      </c>
      <c r="S225" s="107" t="s">
        <v>809</v>
      </c>
      <c r="T225" s="369"/>
      <c r="U225" s="344">
        <f>R225*W225%</f>
        <v>2710.5719999999997</v>
      </c>
      <c r="V225" s="345">
        <f t="shared" si="58"/>
        <v>2710.5719999999997</v>
      </c>
      <c r="W225" s="345">
        <v>6</v>
      </c>
      <c r="X225" s="345">
        <f t="shared" si="59"/>
        <v>135.52859999999998</v>
      </c>
      <c r="Y225" s="333">
        <f t="shared" si="49"/>
        <v>225.88099999999997</v>
      </c>
      <c r="Z225" s="807"/>
      <c r="AA225" s="711"/>
      <c r="AB225" s="340"/>
      <c r="AC225" s="406"/>
      <c r="AD225" s="459"/>
      <c r="AE225" s="421"/>
      <c r="AF225" s="463"/>
      <c r="AG225" s="459"/>
      <c r="AH225" s="503"/>
      <c r="AI225" s="340"/>
      <c r="AJ225" s="740"/>
      <c r="AK225" s="741"/>
      <c r="AL225" s="732"/>
      <c r="AM225" s="340">
        <f t="shared" si="55"/>
        <v>0</v>
      </c>
      <c r="AN225" s="340">
        <f t="shared" si="56"/>
        <v>0</v>
      </c>
      <c r="AO225" s="468"/>
      <c r="AP225" s="333">
        <f t="shared" si="57"/>
        <v>0</v>
      </c>
      <c r="AQ225" s="521">
        <v>0</v>
      </c>
      <c r="AR225" s="523">
        <v>0</v>
      </c>
      <c r="AS225" s="164">
        <v>43399</v>
      </c>
      <c r="AT225" s="120" t="s">
        <v>1780</v>
      </c>
      <c r="AU225" s="113" t="s">
        <v>1634</v>
      </c>
      <c r="AV225" s="229"/>
    </row>
    <row r="226" spans="1:49" ht="168.75" x14ac:dyDescent="0.25">
      <c r="A226" s="8">
        <v>213</v>
      </c>
      <c r="B226" s="9">
        <v>134</v>
      </c>
      <c r="C226" s="277" t="s">
        <v>810</v>
      </c>
      <c r="D226" s="278" t="s">
        <v>811</v>
      </c>
      <c r="E226" s="266">
        <v>2296214166</v>
      </c>
      <c r="F226" s="270">
        <v>6510700000</v>
      </c>
      <c r="G226" s="270" t="s">
        <v>812</v>
      </c>
      <c r="H226" s="270" t="s">
        <v>813</v>
      </c>
      <c r="I226" s="271" t="s">
        <v>814</v>
      </c>
      <c r="J226" s="267" t="s">
        <v>815</v>
      </c>
      <c r="K226" s="267" t="s">
        <v>1522</v>
      </c>
      <c r="L226" s="267" t="s">
        <v>816</v>
      </c>
      <c r="M226" s="283" t="s">
        <v>245</v>
      </c>
      <c r="N226" s="267"/>
      <c r="O226" s="265" t="s">
        <v>8</v>
      </c>
      <c r="P226" s="268">
        <v>3.1199999999999999E-2</v>
      </c>
      <c r="Q226" s="269">
        <v>1906.98</v>
      </c>
      <c r="R226" s="269">
        <v>594977.76</v>
      </c>
      <c r="S226" s="269" t="s">
        <v>817</v>
      </c>
      <c r="T226" s="374"/>
      <c r="U226" s="349">
        <v>53103.08</v>
      </c>
      <c r="V226" s="352">
        <v>53103.08</v>
      </c>
      <c r="W226" s="350">
        <v>8.9250000000000007</v>
      </c>
      <c r="X226" s="333">
        <f t="shared" si="59"/>
        <v>170.20217948717951</v>
      </c>
      <c r="Y226" s="333">
        <f t="shared" si="49"/>
        <v>4425.2566666666671</v>
      </c>
      <c r="Z226" s="807"/>
      <c r="AA226" s="711">
        <v>12375</v>
      </c>
      <c r="AB226" s="340"/>
      <c r="AC226" s="406"/>
      <c r="AD226" s="459"/>
      <c r="AE226" s="421"/>
      <c r="AF226" s="463"/>
      <c r="AG226" s="459"/>
      <c r="AH226" s="406"/>
      <c r="AI226" s="340"/>
      <c r="AJ226" s="740"/>
      <c r="AK226" s="775"/>
      <c r="AL226" s="732"/>
      <c r="AM226" s="340">
        <f t="shared" si="55"/>
        <v>12375</v>
      </c>
      <c r="AN226" s="340">
        <f t="shared" si="56"/>
        <v>12375</v>
      </c>
      <c r="AO226" s="468"/>
      <c r="AP226" s="333">
        <f t="shared" si="57"/>
        <v>23.303733041473301</v>
      </c>
      <c r="AQ226" s="521">
        <v>55732.286666666667</v>
      </c>
      <c r="AR226" s="523">
        <v>104.9511377996656</v>
      </c>
      <c r="AS226" s="164">
        <v>45223</v>
      </c>
      <c r="AT226" s="120" t="s">
        <v>1781</v>
      </c>
      <c r="AU226" s="113" t="s">
        <v>1634</v>
      </c>
      <c r="AV226" s="1"/>
    </row>
    <row r="227" spans="1:49" ht="168.75" x14ac:dyDescent="0.25">
      <c r="A227" s="8">
        <v>214</v>
      </c>
      <c r="B227" s="266"/>
      <c r="C227" s="277" t="s">
        <v>810</v>
      </c>
      <c r="D227" s="278" t="s">
        <v>811</v>
      </c>
      <c r="E227" s="266">
        <v>2296214166</v>
      </c>
      <c r="F227" s="270">
        <v>6510700000</v>
      </c>
      <c r="G227" s="270" t="s">
        <v>818</v>
      </c>
      <c r="H227" s="270" t="s">
        <v>813</v>
      </c>
      <c r="I227" s="271" t="s">
        <v>819</v>
      </c>
      <c r="J227" s="267" t="s">
        <v>820</v>
      </c>
      <c r="K227" s="267" t="s">
        <v>1522</v>
      </c>
      <c r="L227" s="267" t="s">
        <v>821</v>
      </c>
      <c r="M227" s="283" t="s">
        <v>245</v>
      </c>
      <c r="N227" s="267"/>
      <c r="O227" s="265" t="s">
        <v>8</v>
      </c>
      <c r="P227" s="268">
        <v>6.1999999999999998E-3</v>
      </c>
      <c r="Q227" s="269">
        <v>1906.98</v>
      </c>
      <c r="R227" s="269">
        <v>118232.76</v>
      </c>
      <c r="S227" s="269" t="s">
        <v>822</v>
      </c>
      <c r="T227" s="374"/>
      <c r="U227" s="349">
        <v>19094.79</v>
      </c>
      <c r="V227" s="350">
        <f t="shared" ref="V227:V235" si="60">U227</f>
        <v>19094.79</v>
      </c>
      <c r="W227" s="350">
        <v>16.149999999999999</v>
      </c>
      <c r="X227" s="333">
        <f t="shared" si="59"/>
        <v>307.98048387096776</v>
      </c>
      <c r="Y227" s="333">
        <f t="shared" si="49"/>
        <v>1591.2325000000001</v>
      </c>
      <c r="Z227" s="807"/>
      <c r="AA227" s="711"/>
      <c r="AB227" s="340">
        <v>944.6</v>
      </c>
      <c r="AC227" s="406"/>
      <c r="AD227" s="459"/>
      <c r="AE227" s="421"/>
      <c r="AF227" s="463"/>
      <c r="AG227" s="459"/>
      <c r="AH227" s="406"/>
      <c r="AI227" s="340"/>
      <c r="AJ227" s="740"/>
      <c r="AK227" s="741"/>
      <c r="AL227" s="732"/>
      <c r="AM227" s="340">
        <f t="shared" si="55"/>
        <v>944.6</v>
      </c>
      <c r="AN227" s="340">
        <f t="shared" si="56"/>
        <v>944.6</v>
      </c>
      <c r="AO227" s="468"/>
      <c r="AP227" s="333">
        <f t="shared" si="57"/>
        <v>4.9468991279820305</v>
      </c>
      <c r="AQ227" s="521">
        <v>15517.16</v>
      </c>
      <c r="AR227" s="523">
        <v>81.2638421265696</v>
      </c>
      <c r="AS227" s="164" t="s">
        <v>2599</v>
      </c>
      <c r="AT227" s="120" t="s">
        <v>1781</v>
      </c>
      <c r="AU227" s="113" t="s">
        <v>1634</v>
      </c>
    </row>
    <row r="228" spans="1:49" ht="168.75" x14ac:dyDescent="0.25">
      <c r="A228" s="8">
        <v>215</v>
      </c>
      <c r="B228" s="266"/>
      <c r="C228" s="277" t="s">
        <v>810</v>
      </c>
      <c r="D228" s="278" t="s">
        <v>811</v>
      </c>
      <c r="E228" s="266">
        <v>2296214166</v>
      </c>
      <c r="F228" s="270">
        <v>6510700000</v>
      </c>
      <c r="G228" s="270" t="s">
        <v>823</v>
      </c>
      <c r="H228" s="270" t="s">
        <v>813</v>
      </c>
      <c r="I228" s="271" t="s">
        <v>824</v>
      </c>
      <c r="J228" s="267" t="s">
        <v>825</v>
      </c>
      <c r="K228" s="267" t="s">
        <v>1522</v>
      </c>
      <c r="L228" s="267" t="s">
        <v>826</v>
      </c>
      <c r="M228" s="283" t="s">
        <v>245</v>
      </c>
      <c r="N228" s="267"/>
      <c r="O228" s="265" t="s">
        <v>8</v>
      </c>
      <c r="P228" s="268">
        <v>1.46E-2</v>
      </c>
      <c r="Q228" s="269">
        <v>1906.98</v>
      </c>
      <c r="R228" s="269">
        <v>278419.08</v>
      </c>
      <c r="S228" s="269" t="s">
        <v>827</v>
      </c>
      <c r="T228" s="374"/>
      <c r="U228" s="349">
        <v>39166.86</v>
      </c>
      <c r="V228" s="350">
        <f t="shared" si="60"/>
        <v>39166.86</v>
      </c>
      <c r="W228" s="350">
        <v>14.068</v>
      </c>
      <c r="X228" s="333">
        <f t="shared" si="59"/>
        <v>268.26616438356166</v>
      </c>
      <c r="Y228" s="333">
        <f t="shared" si="49"/>
        <v>3263.9050000000002</v>
      </c>
      <c r="Z228" s="807"/>
      <c r="AA228" s="711"/>
      <c r="AB228" s="340"/>
      <c r="AC228" s="406"/>
      <c r="AD228" s="459"/>
      <c r="AE228" s="421"/>
      <c r="AF228" s="463"/>
      <c r="AG228" s="459"/>
      <c r="AH228" s="406"/>
      <c r="AI228" s="340"/>
      <c r="AJ228" s="740"/>
      <c r="AK228" s="741"/>
      <c r="AL228" s="732"/>
      <c r="AM228" s="340">
        <f t="shared" si="55"/>
        <v>0</v>
      </c>
      <c r="AN228" s="340">
        <f t="shared" si="56"/>
        <v>0</v>
      </c>
      <c r="AO228" s="468"/>
      <c r="AP228" s="333">
        <f t="shared" si="57"/>
        <v>0</v>
      </c>
      <c r="AQ228" s="521">
        <v>38735.130000000005</v>
      </c>
      <c r="AR228" s="523">
        <v>98.897716079358943</v>
      </c>
      <c r="AS228" s="164" t="s">
        <v>2599</v>
      </c>
      <c r="AT228" s="120" t="s">
        <v>1781</v>
      </c>
      <c r="AU228" s="113" t="s">
        <v>1634</v>
      </c>
    </row>
    <row r="229" spans="1:49" ht="150" x14ac:dyDescent="0.25">
      <c r="A229" s="8">
        <v>216</v>
      </c>
      <c r="B229" s="266">
        <v>135</v>
      </c>
      <c r="C229" s="264" t="s">
        <v>828</v>
      </c>
      <c r="D229" s="265" t="s">
        <v>829</v>
      </c>
      <c r="E229" s="266" t="s">
        <v>1523</v>
      </c>
      <c r="F229" s="270">
        <v>6510700000</v>
      </c>
      <c r="G229" s="266" t="s">
        <v>830</v>
      </c>
      <c r="H229" s="266" t="s">
        <v>831</v>
      </c>
      <c r="I229" s="267" t="s">
        <v>832</v>
      </c>
      <c r="J229" s="267" t="s">
        <v>833</v>
      </c>
      <c r="K229" s="267" t="s">
        <v>1524</v>
      </c>
      <c r="L229" s="267" t="s">
        <v>834</v>
      </c>
      <c r="M229" s="283" t="s">
        <v>835</v>
      </c>
      <c r="N229" s="267"/>
      <c r="O229" s="265" t="s">
        <v>8</v>
      </c>
      <c r="P229" s="268">
        <v>0.38500000000000001</v>
      </c>
      <c r="Q229" s="269">
        <v>388.11</v>
      </c>
      <c r="R229" s="269">
        <v>1494223.5</v>
      </c>
      <c r="S229" s="269" t="s">
        <v>836</v>
      </c>
      <c r="T229" s="374"/>
      <c r="U229" s="349">
        <v>46171.49</v>
      </c>
      <c r="V229" s="350">
        <f t="shared" si="60"/>
        <v>46171.49</v>
      </c>
      <c r="W229" s="350">
        <v>3.09</v>
      </c>
      <c r="X229" s="333">
        <f t="shared" si="59"/>
        <v>11.992594805194805</v>
      </c>
      <c r="Y229" s="333">
        <f t="shared" si="49"/>
        <v>3847.6241666666665</v>
      </c>
      <c r="Z229" s="807"/>
      <c r="AA229" s="711">
        <v>7308.62</v>
      </c>
      <c r="AB229" s="340"/>
      <c r="AC229" s="406"/>
      <c r="AD229" s="459">
        <v>732</v>
      </c>
      <c r="AE229" s="421"/>
      <c r="AF229" s="463"/>
      <c r="AG229" s="459"/>
      <c r="AH229" s="503"/>
      <c r="AI229" s="340"/>
      <c r="AJ229" s="740"/>
      <c r="AK229" s="741"/>
      <c r="AL229" s="732"/>
      <c r="AM229" s="340">
        <f t="shared" si="55"/>
        <v>8040.62</v>
      </c>
      <c r="AN229" s="340">
        <f t="shared" si="56"/>
        <v>8040.62</v>
      </c>
      <c r="AO229" s="468"/>
      <c r="AP229" s="333">
        <f t="shared" si="57"/>
        <v>17.414685989124457</v>
      </c>
      <c r="AQ229" s="192">
        <v>54835.5</v>
      </c>
      <c r="AR229" s="416">
        <v>118.76484817795571</v>
      </c>
      <c r="AS229" s="140">
        <v>44754</v>
      </c>
      <c r="AT229" s="20" t="s">
        <v>1782</v>
      </c>
      <c r="AU229" s="13" t="s">
        <v>1634</v>
      </c>
    </row>
    <row r="230" spans="1:49" ht="150" x14ac:dyDescent="0.25">
      <c r="A230" s="8">
        <v>217</v>
      </c>
      <c r="B230" s="266"/>
      <c r="C230" s="264" t="s">
        <v>828</v>
      </c>
      <c r="D230" s="265" t="s">
        <v>829</v>
      </c>
      <c r="E230" s="266" t="s">
        <v>1523</v>
      </c>
      <c r="F230" s="270">
        <v>6510700000</v>
      </c>
      <c r="G230" s="266" t="s">
        <v>837</v>
      </c>
      <c r="H230" s="266" t="s">
        <v>838</v>
      </c>
      <c r="I230" s="267" t="s">
        <v>1988</v>
      </c>
      <c r="J230" s="283" t="s">
        <v>839</v>
      </c>
      <c r="K230" s="267" t="s">
        <v>840</v>
      </c>
      <c r="L230" s="267" t="s">
        <v>841</v>
      </c>
      <c r="M230" s="283" t="s">
        <v>842</v>
      </c>
      <c r="N230" s="283"/>
      <c r="O230" s="265" t="s">
        <v>8</v>
      </c>
      <c r="P230" s="268">
        <v>7.7999999999999996E-3</v>
      </c>
      <c r="Q230" s="269">
        <v>2258.81</v>
      </c>
      <c r="R230" s="269">
        <v>176187.18</v>
      </c>
      <c r="S230" s="269" t="s">
        <v>1989</v>
      </c>
      <c r="T230" s="374"/>
      <c r="U230" s="349">
        <v>15790.77</v>
      </c>
      <c r="V230" s="350">
        <f t="shared" si="60"/>
        <v>15790.77</v>
      </c>
      <c r="W230" s="350">
        <f>V230*100/R230</f>
        <v>8.9624965902740481</v>
      </c>
      <c r="X230" s="333">
        <v>6</v>
      </c>
      <c r="Y230" s="333">
        <f t="shared" si="49"/>
        <v>1315.8975</v>
      </c>
      <c r="Z230" s="807"/>
      <c r="AA230" s="711"/>
      <c r="AB230" s="340">
        <v>7285</v>
      </c>
      <c r="AC230" s="406"/>
      <c r="AD230" s="459"/>
      <c r="AE230" s="421"/>
      <c r="AF230" s="463"/>
      <c r="AG230" s="459"/>
      <c r="AH230" s="503"/>
      <c r="AI230" s="340"/>
      <c r="AJ230" s="740"/>
      <c r="AK230" s="741"/>
      <c r="AL230" s="732"/>
      <c r="AM230" s="340">
        <f t="shared" si="55"/>
        <v>7285</v>
      </c>
      <c r="AN230" s="340">
        <f t="shared" si="56"/>
        <v>7285</v>
      </c>
      <c r="AO230" s="468"/>
      <c r="AP230" s="333">
        <f t="shared" si="57"/>
        <v>46.134545687132416</v>
      </c>
      <c r="AQ230" s="192">
        <v>18272.5</v>
      </c>
      <c r="AR230" s="416">
        <v>115.71633302239219</v>
      </c>
      <c r="AS230" s="140" t="s">
        <v>2602</v>
      </c>
      <c r="AT230" s="20" t="s">
        <v>1783</v>
      </c>
      <c r="AU230" s="13" t="s">
        <v>1629</v>
      </c>
    </row>
    <row r="231" spans="1:49" ht="225" x14ac:dyDescent="0.25">
      <c r="A231" s="8">
        <v>218</v>
      </c>
      <c r="B231" s="266">
        <v>136</v>
      </c>
      <c r="C231" s="108" t="s">
        <v>2016</v>
      </c>
      <c r="D231" s="109" t="s">
        <v>1949</v>
      </c>
      <c r="E231" s="115">
        <v>2145824854</v>
      </c>
      <c r="F231" s="115">
        <v>6510700000</v>
      </c>
      <c r="G231" s="115" t="s">
        <v>843</v>
      </c>
      <c r="H231" s="115" t="s">
        <v>844</v>
      </c>
      <c r="I231" s="113"/>
      <c r="J231" s="127" t="s">
        <v>845</v>
      </c>
      <c r="K231" s="127"/>
      <c r="L231" s="113" t="s">
        <v>846</v>
      </c>
      <c r="M231" s="112" t="s">
        <v>847</v>
      </c>
      <c r="N231" s="113" t="s">
        <v>2023</v>
      </c>
      <c r="O231" s="109" t="s">
        <v>8</v>
      </c>
      <c r="P231" s="114">
        <v>2E-3</v>
      </c>
      <c r="Q231" s="107">
        <v>1163.98</v>
      </c>
      <c r="R231" s="107">
        <f>Q231*20</f>
        <v>23279.599999999999</v>
      </c>
      <c r="S231" s="107" t="s">
        <v>1985</v>
      </c>
      <c r="T231" s="369"/>
      <c r="U231" s="344">
        <f>R231*W231%</f>
        <v>1396.7759999999998</v>
      </c>
      <c r="V231" s="345">
        <f t="shared" si="60"/>
        <v>1396.7759999999998</v>
      </c>
      <c r="W231" s="345">
        <v>6</v>
      </c>
      <c r="X231" s="345">
        <f t="shared" ref="X231:X243" si="61">V231/(P231*10000)</f>
        <v>69.838799999999992</v>
      </c>
      <c r="Y231" s="345">
        <f t="shared" si="49"/>
        <v>116.39799999999998</v>
      </c>
      <c r="Z231" s="807"/>
      <c r="AA231" s="852">
        <v>116.4</v>
      </c>
      <c r="AB231" s="359">
        <v>116.4</v>
      </c>
      <c r="AC231" s="407">
        <v>116.4</v>
      </c>
      <c r="AD231" s="483">
        <v>116.4</v>
      </c>
      <c r="AE231" s="422"/>
      <c r="AF231" s="462"/>
      <c r="AG231" s="483"/>
      <c r="AH231" s="502"/>
      <c r="AI231" s="359"/>
      <c r="AJ231" s="751"/>
      <c r="AK231" s="529"/>
      <c r="AL231" s="752"/>
      <c r="AM231" s="340">
        <f t="shared" si="55"/>
        <v>465.6</v>
      </c>
      <c r="AN231" s="340">
        <f t="shared" si="56"/>
        <v>465.6</v>
      </c>
      <c r="AO231" s="468"/>
      <c r="AP231" s="345">
        <f t="shared" si="57"/>
        <v>33.333906080860501</v>
      </c>
      <c r="AQ231" s="521">
        <v>1396.8000000000004</v>
      </c>
      <c r="AR231" s="523">
        <v>100.00171824258152</v>
      </c>
      <c r="AS231" s="164" t="s">
        <v>2600</v>
      </c>
      <c r="AT231" s="112" t="s">
        <v>1784</v>
      </c>
      <c r="AU231" s="113" t="s">
        <v>1634</v>
      </c>
    </row>
    <row r="232" spans="1:49" ht="356.25" x14ac:dyDescent="0.25">
      <c r="A232" s="8">
        <v>219</v>
      </c>
      <c r="B232" s="115">
        <v>137</v>
      </c>
      <c r="C232" s="96" t="s">
        <v>2200</v>
      </c>
      <c r="D232" s="10" t="s">
        <v>848</v>
      </c>
      <c r="E232" s="9">
        <v>2453919933</v>
      </c>
      <c r="F232" s="19">
        <v>6510700000</v>
      </c>
      <c r="G232" s="19" t="s">
        <v>849</v>
      </c>
      <c r="H232" s="19" t="s">
        <v>850</v>
      </c>
      <c r="I232" s="13" t="s">
        <v>851</v>
      </c>
      <c r="J232" s="15" t="s">
        <v>852</v>
      </c>
      <c r="K232" s="62" t="s">
        <v>1525</v>
      </c>
      <c r="L232" s="52" t="s">
        <v>853</v>
      </c>
      <c r="M232" s="20" t="s">
        <v>854</v>
      </c>
      <c r="N232" s="52"/>
      <c r="O232" s="24" t="s">
        <v>8</v>
      </c>
      <c r="P232" s="27">
        <v>9.0700000000000003E-2</v>
      </c>
      <c r="Q232" s="12">
        <v>219.75</v>
      </c>
      <c r="R232" s="12">
        <v>199313.25</v>
      </c>
      <c r="S232" s="12" t="s">
        <v>855</v>
      </c>
      <c r="T232" s="368"/>
      <c r="U232" s="336">
        <f>R232*W232%</f>
        <v>8969.0962500000005</v>
      </c>
      <c r="V232" s="333">
        <f t="shared" si="60"/>
        <v>8969.0962500000005</v>
      </c>
      <c r="W232" s="333">
        <v>4.5</v>
      </c>
      <c r="X232" s="333">
        <f t="shared" si="61"/>
        <v>9.8887499999999999</v>
      </c>
      <c r="Y232" s="333">
        <f t="shared" si="49"/>
        <v>747.4246875</v>
      </c>
      <c r="Z232" s="807"/>
      <c r="AA232" s="711">
        <v>747.42</v>
      </c>
      <c r="AB232" s="340">
        <v>747.42</v>
      </c>
      <c r="AC232" s="340">
        <v>747.42</v>
      </c>
      <c r="AD232" s="459">
        <v>747.42</v>
      </c>
      <c r="AE232" s="421"/>
      <c r="AF232" s="463"/>
      <c r="AG232" s="459"/>
      <c r="AH232" s="503"/>
      <c r="AI232" s="340"/>
      <c r="AJ232" s="740"/>
      <c r="AK232" s="741"/>
      <c r="AL232" s="732"/>
      <c r="AM232" s="340">
        <f t="shared" si="55"/>
        <v>2989.68</v>
      </c>
      <c r="AN232" s="340">
        <f t="shared" si="56"/>
        <v>2989.68</v>
      </c>
      <c r="AO232" s="468"/>
      <c r="AP232" s="333">
        <f t="shared" si="57"/>
        <v>33.333124282170566</v>
      </c>
      <c r="AQ232" s="192">
        <v>8843</v>
      </c>
      <c r="AR232" s="416">
        <v>98.594103056927267</v>
      </c>
      <c r="AS232" s="140" t="s">
        <v>2601</v>
      </c>
      <c r="AT232" s="11" t="s">
        <v>1785</v>
      </c>
      <c r="AU232" s="13" t="s">
        <v>1639</v>
      </c>
    </row>
    <row r="233" spans="1:49" ht="150" x14ac:dyDescent="0.25">
      <c r="A233" s="8">
        <v>220</v>
      </c>
      <c r="B233" s="9"/>
      <c r="C233" s="108" t="s">
        <v>2200</v>
      </c>
      <c r="D233" s="109" t="s">
        <v>848</v>
      </c>
      <c r="E233" s="115">
        <v>2453919933</v>
      </c>
      <c r="F233" s="110">
        <v>6510700000</v>
      </c>
      <c r="G233" s="110" t="s">
        <v>2201</v>
      </c>
      <c r="H233" s="110" t="s">
        <v>2202</v>
      </c>
      <c r="I233" s="113" t="s">
        <v>2028</v>
      </c>
      <c r="J233" s="133" t="s">
        <v>2203</v>
      </c>
      <c r="K233" s="113" t="s">
        <v>2204</v>
      </c>
      <c r="L233" s="191" t="s">
        <v>2205</v>
      </c>
      <c r="M233" s="112" t="s">
        <v>2206</v>
      </c>
      <c r="N233" s="191"/>
      <c r="O233" s="167" t="s">
        <v>8</v>
      </c>
      <c r="P233" s="114">
        <v>6.7199999999999996E-2</v>
      </c>
      <c r="Q233" s="107">
        <v>2012.38</v>
      </c>
      <c r="R233" s="107">
        <v>1352319.36</v>
      </c>
      <c r="S233" s="107" t="s">
        <v>2207</v>
      </c>
      <c r="T233" s="369"/>
      <c r="U233" s="344">
        <v>14199.35</v>
      </c>
      <c r="V233" s="345">
        <f t="shared" si="60"/>
        <v>14199.35</v>
      </c>
      <c r="W233" s="345">
        <v>1.05</v>
      </c>
      <c r="X233" s="345">
        <f t="shared" si="61"/>
        <v>21.129985119047621</v>
      </c>
      <c r="Y233" s="345">
        <f t="shared" si="49"/>
        <v>1183.2791666666667</v>
      </c>
      <c r="Z233" s="807"/>
      <c r="AA233" s="852">
        <v>1183.28</v>
      </c>
      <c r="AB233" s="359">
        <v>1183.28</v>
      </c>
      <c r="AC233" s="359">
        <v>1183.28</v>
      </c>
      <c r="AD233" s="483">
        <v>1183.28</v>
      </c>
      <c r="AE233" s="422"/>
      <c r="AF233" s="462"/>
      <c r="AG233" s="483"/>
      <c r="AH233" s="502"/>
      <c r="AI233" s="359"/>
      <c r="AJ233" s="751"/>
      <c r="AK233" s="529"/>
      <c r="AL233" s="752"/>
      <c r="AM233" s="340">
        <f t="shared" si="55"/>
        <v>4733.12</v>
      </c>
      <c r="AN233" s="340">
        <f t="shared" si="56"/>
        <v>4733.12</v>
      </c>
      <c r="AO233" s="468"/>
      <c r="AP233" s="345">
        <f t="shared" si="57"/>
        <v>33.333356808586309</v>
      </c>
      <c r="AQ233" s="521">
        <v>10586</v>
      </c>
      <c r="AR233" s="523">
        <v>92.445347997439541</v>
      </c>
      <c r="AS233" s="164" t="s">
        <v>2560</v>
      </c>
      <c r="AT233" s="128" t="s">
        <v>2208</v>
      </c>
      <c r="AU233" s="113" t="s">
        <v>1679</v>
      </c>
    </row>
    <row r="234" spans="1:49" ht="150" x14ac:dyDescent="0.25">
      <c r="A234" s="8">
        <v>221</v>
      </c>
      <c r="B234" s="115">
        <v>138</v>
      </c>
      <c r="C234" s="264" t="s">
        <v>1990</v>
      </c>
      <c r="D234" s="278" t="s">
        <v>856</v>
      </c>
      <c r="E234" s="266" t="s">
        <v>1526</v>
      </c>
      <c r="F234" s="270">
        <v>6510700000</v>
      </c>
      <c r="G234" s="270" t="s">
        <v>857</v>
      </c>
      <c r="H234" s="270" t="s">
        <v>858</v>
      </c>
      <c r="I234" s="267" t="s">
        <v>1991</v>
      </c>
      <c r="J234" s="274" t="s">
        <v>859</v>
      </c>
      <c r="K234" s="284" t="s">
        <v>840</v>
      </c>
      <c r="L234" s="285" t="s">
        <v>860</v>
      </c>
      <c r="M234" s="283" t="s">
        <v>861</v>
      </c>
      <c r="N234" s="285"/>
      <c r="O234" s="286" t="s">
        <v>8</v>
      </c>
      <c r="P234" s="268">
        <v>7.0000000000000001E-3</v>
      </c>
      <c r="Q234" s="269">
        <v>655.47</v>
      </c>
      <c r="R234" s="269">
        <v>45882.9</v>
      </c>
      <c r="S234" s="269" t="s">
        <v>1992</v>
      </c>
      <c r="T234" s="374"/>
      <c r="U234" s="349">
        <v>5505.89</v>
      </c>
      <c r="V234" s="350">
        <f t="shared" si="60"/>
        <v>5505.89</v>
      </c>
      <c r="W234" s="350">
        <f>V234*100/R234</f>
        <v>11.99987359125077</v>
      </c>
      <c r="X234" s="350">
        <f t="shared" si="61"/>
        <v>78.655571428571434</v>
      </c>
      <c r="Y234" s="333">
        <f t="shared" ref="Y234:Y297" si="62">V234/12</f>
        <v>458.82416666666671</v>
      </c>
      <c r="Z234" s="807"/>
      <c r="AA234" s="711">
        <v>1990</v>
      </c>
      <c r="AB234" s="340">
        <v>1990</v>
      </c>
      <c r="AC234" s="1048">
        <v>1990</v>
      </c>
      <c r="AD234" s="459">
        <v>1990</v>
      </c>
      <c r="AE234" s="421"/>
      <c r="AF234" s="463"/>
      <c r="AG234" s="459"/>
      <c r="AH234" s="503"/>
      <c r="AI234" s="340"/>
      <c r="AJ234" s="740"/>
      <c r="AK234" s="741"/>
      <c r="AL234" s="732"/>
      <c r="AM234" s="340">
        <f t="shared" si="55"/>
        <v>7960</v>
      </c>
      <c r="AN234" s="340">
        <f t="shared" si="56"/>
        <v>7960</v>
      </c>
      <c r="AO234" s="468"/>
      <c r="AP234" s="333">
        <f t="shared" si="57"/>
        <v>144.57244877758183</v>
      </c>
      <c r="AQ234" s="192">
        <v>9950</v>
      </c>
      <c r="AR234" s="416">
        <v>180.71556097197728</v>
      </c>
      <c r="AS234" s="140" t="s">
        <v>2602</v>
      </c>
      <c r="AT234" s="31" t="s">
        <v>1759</v>
      </c>
      <c r="AU234" s="13" t="s">
        <v>1629</v>
      </c>
    </row>
    <row r="235" spans="1:49" ht="206.25" x14ac:dyDescent="0.25">
      <c r="A235" s="8">
        <v>222</v>
      </c>
      <c r="B235" s="266">
        <v>139</v>
      </c>
      <c r="C235" s="119" t="s">
        <v>2132</v>
      </c>
      <c r="D235" s="120" t="s">
        <v>862</v>
      </c>
      <c r="E235" s="115">
        <v>2714927287</v>
      </c>
      <c r="F235" s="110">
        <v>6510700000</v>
      </c>
      <c r="G235" s="110" t="s">
        <v>863</v>
      </c>
      <c r="H235" s="110" t="s">
        <v>2133</v>
      </c>
      <c r="I235" s="111"/>
      <c r="J235" s="109" t="s">
        <v>864</v>
      </c>
      <c r="K235" s="113"/>
      <c r="L235" s="109" t="s">
        <v>2134</v>
      </c>
      <c r="M235" s="112">
        <v>41664</v>
      </c>
      <c r="N235" s="112" t="s">
        <v>2135</v>
      </c>
      <c r="O235" s="109" t="s">
        <v>8</v>
      </c>
      <c r="P235" s="114">
        <v>2.7000000000000001E-3</v>
      </c>
      <c r="Q235" s="107">
        <f>R235/27</f>
        <v>940.08</v>
      </c>
      <c r="R235" s="107">
        <v>25382.16</v>
      </c>
      <c r="S235" s="107" t="s">
        <v>2136</v>
      </c>
      <c r="T235" s="369"/>
      <c r="U235" s="344">
        <f>R235*W235%</f>
        <v>2411.3052000000002</v>
      </c>
      <c r="V235" s="344">
        <f t="shared" si="60"/>
        <v>2411.3052000000002</v>
      </c>
      <c r="W235" s="344">
        <v>9.5</v>
      </c>
      <c r="X235" s="344">
        <f t="shared" si="61"/>
        <v>89.307600000000008</v>
      </c>
      <c r="Y235" s="344">
        <f t="shared" si="62"/>
        <v>200.94210000000001</v>
      </c>
      <c r="Z235" s="840"/>
      <c r="AA235" s="529"/>
      <c r="AB235" s="364"/>
      <c r="AC235" s="407"/>
      <c r="AD235" s="483">
        <v>1650</v>
      </c>
      <c r="AE235" s="422"/>
      <c r="AF235" s="462"/>
      <c r="AG235" s="483"/>
      <c r="AH235" s="502"/>
      <c r="AI235" s="364"/>
      <c r="AJ235" s="751"/>
      <c r="AK235" s="529"/>
      <c r="AL235" s="756"/>
      <c r="AM235" s="340">
        <f t="shared" si="55"/>
        <v>1650</v>
      </c>
      <c r="AN235" s="340">
        <f t="shared" si="56"/>
        <v>1650</v>
      </c>
      <c r="AO235" s="468"/>
      <c r="AP235" s="344">
        <f t="shared" si="57"/>
        <v>68.427671453617734</v>
      </c>
      <c r="AQ235" s="521">
        <v>2600</v>
      </c>
      <c r="AR235" s="523">
        <v>107.82542168448855</v>
      </c>
      <c r="AS235" s="164" t="s">
        <v>2603</v>
      </c>
      <c r="AT235" s="128" t="s">
        <v>1718</v>
      </c>
      <c r="AU235" s="113" t="s">
        <v>1634</v>
      </c>
      <c r="AV235" s="327" t="s">
        <v>2017</v>
      </c>
    </row>
    <row r="236" spans="1:49" ht="131.25" x14ac:dyDescent="0.25">
      <c r="A236" s="8">
        <v>223</v>
      </c>
      <c r="B236" s="115">
        <v>140</v>
      </c>
      <c r="C236" s="277" t="s">
        <v>3245</v>
      </c>
      <c r="D236" s="278" t="s">
        <v>862</v>
      </c>
      <c r="E236" s="266">
        <v>2714927287</v>
      </c>
      <c r="F236" s="270">
        <v>6510700000</v>
      </c>
      <c r="G236" s="270" t="s">
        <v>865</v>
      </c>
      <c r="H236" s="270" t="s">
        <v>866</v>
      </c>
      <c r="I236" s="271" t="s">
        <v>867</v>
      </c>
      <c r="J236" s="287" t="s">
        <v>868</v>
      </c>
      <c r="K236" s="271" t="s">
        <v>1488</v>
      </c>
      <c r="L236" s="287" t="s">
        <v>869</v>
      </c>
      <c r="M236" s="300" t="s">
        <v>870</v>
      </c>
      <c r="N236" s="287"/>
      <c r="O236" s="265" t="s">
        <v>8</v>
      </c>
      <c r="P236" s="268">
        <v>1.2E-2</v>
      </c>
      <c r="Q236" s="269">
        <v>798.33</v>
      </c>
      <c r="R236" s="269">
        <v>95799.6</v>
      </c>
      <c r="S236" s="269" t="s">
        <v>871</v>
      </c>
      <c r="T236" s="374"/>
      <c r="U236" s="356">
        <f>R236*W236%</f>
        <v>12243.19</v>
      </c>
      <c r="V236" s="357">
        <v>12243.19</v>
      </c>
      <c r="W236" s="356">
        <f>V236*100/R236</f>
        <v>12.780001169107177</v>
      </c>
      <c r="X236" s="333">
        <f t="shared" si="61"/>
        <v>102.02658333333333</v>
      </c>
      <c r="Y236" s="333">
        <f t="shared" si="62"/>
        <v>1020.2658333333334</v>
      </c>
      <c r="Z236" s="807"/>
      <c r="AA236" s="711"/>
      <c r="AB236" s="340">
        <v>1650</v>
      </c>
      <c r="AC236" s="406"/>
      <c r="AD236" s="459"/>
      <c r="AE236" s="421"/>
      <c r="AF236" s="463"/>
      <c r="AG236" s="459"/>
      <c r="AH236" s="503"/>
      <c r="AI236" s="340"/>
      <c r="AJ236" s="740"/>
      <c r="AK236" s="741"/>
      <c r="AL236" s="732"/>
      <c r="AM236" s="340">
        <f t="shared" si="55"/>
        <v>1650</v>
      </c>
      <c r="AN236" s="340">
        <f t="shared" si="56"/>
        <v>1650</v>
      </c>
      <c r="AO236" s="468"/>
      <c r="AP236" s="333">
        <f t="shared" si="57"/>
        <v>13.476879800117452</v>
      </c>
      <c r="AQ236" s="192">
        <v>13560</v>
      </c>
      <c r="AR236" s="416">
        <v>110.75544853914707</v>
      </c>
      <c r="AS236" s="140" t="s">
        <v>2590</v>
      </c>
      <c r="AT236" s="64" t="s">
        <v>1752</v>
      </c>
      <c r="AU236" s="13" t="s">
        <v>1713</v>
      </c>
      <c r="AV236" s="510">
        <v>506410835</v>
      </c>
    </row>
    <row r="237" spans="1:49" ht="150" x14ac:dyDescent="0.25">
      <c r="A237" s="8">
        <v>224</v>
      </c>
      <c r="B237" s="266"/>
      <c r="C237" s="277" t="s">
        <v>3245</v>
      </c>
      <c r="D237" s="278" t="s">
        <v>862</v>
      </c>
      <c r="E237" s="266">
        <v>2714927287</v>
      </c>
      <c r="F237" s="270">
        <v>6510700000</v>
      </c>
      <c r="G237" s="270" t="s">
        <v>2959</v>
      </c>
      <c r="H237" s="270" t="s">
        <v>2960</v>
      </c>
      <c r="I237" s="271" t="s">
        <v>2961</v>
      </c>
      <c r="J237" s="287" t="s">
        <v>2962</v>
      </c>
      <c r="K237" s="271" t="s">
        <v>2963</v>
      </c>
      <c r="L237" s="287" t="s">
        <v>2964</v>
      </c>
      <c r="M237" s="300">
        <v>43739</v>
      </c>
      <c r="N237" s="287"/>
      <c r="O237" s="265" t="s">
        <v>8</v>
      </c>
      <c r="P237" s="288">
        <v>5.0000000000000001E-3</v>
      </c>
      <c r="Q237" s="289">
        <f>R237/50</f>
        <v>799.08</v>
      </c>
      <c r="R237" s="269">
        <v>39954</v>
      </c>
      <c r="S237" s="269" t="s">
        <v>2965</v>
      </c>
      <c r="T237" s="374"/>
      <c r="U237" s="356">
        <v>4994.3999999999996</v>
      </c>
      <c r="V237" s="356">
        <f t="shared" ref="V237:V281" si="63">U237</f>
        <v>4994.3999999999996</v>
      </c>
      <c r="W237" s="356">
        <v>12.5</v>
      </c>
      <c r="X237" s="333">
        <f t="shared" si="61"/>
        <v>99.887999999999991</v>
      </c>
      <c r="Y237" s="333">
        <f t="shared" si="62"/>
        <v>416.2</v>
      </c>
      <c r="Z237" s="807"/>
      <c r="AA237" s="711">
        <v>1650</v>
      </c>
      <c r="AB237" s="340"/>
      <c r="AC237" s="406"/>
      <c r="AD237" s="459"/>
      <c r="AE237" s="421"/>
      <c r="AF237" s="463"/>
      <c r="AG237" s="459"/>
      <c r="AH237" s="503"/>
      <c r="AI237" s="340"/>
      <c r="AJ237" s="740"/>
      <c r="AK237" s="741"/>
      <c r="AL237" s="732"/>
      <c r="AM237" s="340">
        <f t="shared" si="55"/>
        <v>1650</v>
      </c>
      <c r="AN237" s="340">
        <f t="shared" si="56"/>
        <v>1650</v>
      </c>
      <c r="AO237" s="468"/>
      <c r="AP237" s="333">
        <f t="shared" si="57"/>
        <v>33.037001441614613</v>
      </c>
      <c r="AQ237" s="192">
        <v>1237.77</v>
      </c>
      <c r="AR237" s="416">
        <v>99.143745093955744</v>
      </c>
      <c r="AS237" s="140">
        <v>45560</v>
      </c>
      <c r="AT237" s="64" t="s">
        <v>1759</v>
      </c>
      <c r="AU237" s="13" t="s">
        <v>1713</v>
      </c>
      <c r="AV237" s="1359" t="s">
        <v>2209</v>
      </c>
      <c r="AW237" s="1360"/>
    </row>
    <row r="238" spans="1:49" ht="168.75" x14ac:dyDescent="0.25">
      <c r="A238" s="8">
        <v>225</v>
      </c>
      <c r="B238" s="266">
        <v>141</v>
      </c>
      <c r="C238" s="277" t="s">
        <v>3186</v>
      </c>
      <c r="D238" s="278" t="s">
        <v>3187</v>
      </c>
      <c r="E238" s="266" t="s">
        <v>3188</v>
      </c>
      <c r="F238" s="270">
        <v>6510700000</v>
      </c>
      <c r="G238" s="270" t="s">
        <v>872</v>
      </c>
      <c r="H238" s="270" t="s">
        <v>873</v>
      </c>
      <c r="I238" s="271" t="s">
        <v>3189</v>
      </c>
      <c r="J238" s="287" t="s">
        <v>3190</v>
      </c>
      <c r="K238" s="271" t="s">
        <v>3191</v>
      </c>
      <c r="L238" s="287" t="s">
        <v>3192</v>
      </c>
      <c r="M238" s="300" t="s">
        <v>3193</v>
      </c>
      <c r="N238" s="287"/>
      <c r="O238" s="265" t="s">
        <v>8</v>
      </c>
      <c r="P238" s="288">
        <v>0.03</v>
      </c>
      <c r="Q238" s="289">
        <f>R238/300</f>
        <v>483.94</v>
      </c>
      <c r="R238" s="269">
        <v>145182</v>
      </c>
      <c r="S238" s="269" t="s">
        <v>3194</v>
      </c>
      <c r="T238" s="374">
        <v>10037.629999999999</v>
      </c>
      <c r="U238" s="349">
        <v>10037.629999999999</v>
      </c>
      <c r="V238" s="350">
        <f t="shared" si="63"/>
        <v>10037.629999999999</v>
      </c>
      <c r="W238" s="349">
        <v>7.0679999999999996</v>
      </c>
      <c r="X238" s="333">
        <f t="shared" si="61"/>
        <v>33.458766666666662</v>
      </c>
      <c r="Y238" s="333">
        <f t="shared" si="62"/>
        <v>836.46916666666664</v>
      </c>
      <c r="Z238" s="807"/>
      <c r="AA238" s="711">
        <v>840</v>
      </c>
      <c r="AB238" s="340">
        <v>840</v>
      </c>
      <c r="AC238" s="406">
        <v>840</v>
      </c>
      <c r="AD238" s="459"/>
      <c r="AE238" s="421"/>
      <c r="AF238" s="463"/>
      <c r="AG238" s="459"/>
      <c r="AH238" s="503"/>
      <c r="AI238" s="340"/>
      <c r="AJ238" s="740"/>
      <c r="AK238" s="741"/>
      <c r="AL238" s="732"/>
      <c r="AM238" s="340">
        <f t="shared" si="55"/>
        <v>2520</v>
      </c>
      <c r="AN238" s="340">
        <f t="shared" si="56"/>
        <v>2520</v>
      </c>
      <c r="AO238" s="468"/>
      <c r="AP238" s="333">
        <f t="shared" si="57"/>
        <v>25.105527898517881</v>
      </c>
      <c r="AQ238" s="192">
        <v>10534.419999999998</v>
      </c>
      <c r="AR238" s="416">
        <v>104.9492758748828</v>
      </c>
      <c r="AS238" s="140" t="s">
        <v>2604</v>
      </c>
      <c r="AT238" s="64" t="s">
        <v>1786</v>
      </c>
      <c r="AU238" s="13" t="s">
        <v>1634</v>
      </c>
      <c r="AV238" s="391"/>
    </row>
    <row r="239" spans="1:49" ht="262.5" x14ac:dyDescent="0.25">
      <c r="A239" s="8">
        <v>226</v>
      </c>
      <c r="B239" s="8">
        <v>142</v>
      </c>
      <c r="C239" s="98" t="s">
        <v>2799</v>
      </c>
      <c r="D239" s="17" t="s">
        <v>874</v>
      </c>
      <c r="E239" s="9" t="s">
        <v>1527</v>
      </c>
      <c r="F239" s="19">
        <v>6510700000</v>
      </c>
      <c r="G239" s="19" t="s">
        <v>875</v>
      </c>
      <c r="H239" s="19" t="s">
        <v>876</v>
      </c>
      <c r="I239" s="75"/>
      <c r="J239" s="10" t="s">
        <v>877</v>
      </c>
      <c r="K239" s="13"/>
      <c r="L239" s="10" t="s">
        <v>878</v>
      </c>
      <c r="M239" s="65" t="s">
        <v>879</v>
      </c>
      <c r="N239" s="181" t="s">
        <v>880</v>
      </c>
      <c r="O239" s="10" t="s">
        <v>8</v>
      </c>
      <c r="P239" s="25">
        <v>4.4999999999999998E-2</v>
      </c>
      <c r="Q239" s="26">
        <v>295.16000000000003</v>
      </c>
      <c r="R239" s="12">
        <v>132822</v>
      </c>
      <c r="S239" s="12" t="s">
        <v>881</v>
      </c>
      <c r="T239" s="368"/>
      <c r="U239" s="336">
        <f>R239*W239%</f>
        <v>11289.87</v>
      </c>
      <c r="V239" s="333">
        <f t="shared" si="63"/>
        <v>11289.87</v>
      </c>
      <c r="W239" s="333">
        <v>8.5</v>
      </c>
      <c r="X239" s="333">
        <f t="shared" si="61"/>
        <v>25.088600000000003</v>
      </c>
      <c r="Y239" s="333">
        <f t="shared" si="62"/>
        <v>940.8225000000001</v>
      </c>
      <c r="Z239" s="807"/>
      <c r="AA239" s="711"/>
      <c r="AB239" s="340"/>
      <c r="AC239" s="406"/>
      <c r="AD239" s="459"/>
      <c r="AE239" s="421"/>
      <c r="AF239" s="463"/>
      <c r="AG239" s="459"/>
      <c r="AH239" s="503"/>
      <c r="AI239" s="340"/>
      <c r="AJ239" s="740"/>
      <c r="AK239" s="741"/>
      <c r="AL239" s="732"/>
      <c r="AM239" s="340">
        <f t="shared" si="55"/>
        <v>0</v>
      </c>
      <c r="AN239" s="340">
        <f t="shared" si="56"/>
        <v>0</v>
      </c>
      <c r="AO239" s="468"/>
      <c r="AP239" s="333">
        <f t="shared" si="57"/>
        <v>0</v>
      </c>
      <c r="AQ239" s="192">
        <v>0</v>
      </c>
      <c r="AR239" s="416">
        <v>0</v>
      </c>
      <c r="AS239" s="453" t="s">
        <v>2605</v>
      </c>
      <c r="AT239" s="31" t="s">
        <v>1787</v>
      </c>
      <c r="AU239" s="13" t="s">
        <v>1634</v>
      </c>
    </row>
    <row r="240" spans="1:49" ht="150" x14ac:dyDescent="0.25">
      <c r="A240" s="414">
        <v>227</v>
      </c>
      <c r="B240" s="414">
        <v>143</v>
      </c>
      <c r="C240" s="566" t="s">
        <v>2953</v>
      </c>
      <c r="D240" s="1104" t="s">
        <v>2956</v>
      </c>
      <c r="E240" s="527">
        <v>2196402417</v>
      </c>
      <c r="F240" s="1097">
        <v>6510700000</v>
      </c>
      <c r="G240" s="1097" t="s">
        <v>882</v>
      </c>
      <c r="H240" s="1097" t="s">
        <v>883</v>
      </c>
      <c r="I240" s="1098" t="s">
        <v>2112</v>
      </c>
      <c r="J240" s="1087" t="s">
        <v>2954</v>
      </c>
      <c r="K240" s="1083" t="s">
        <v>2957</v>
      </c>
      <c r="L240" s="1087" t="s">
        <v>2958</v>
      </c>
      <c r="M240" s="1087">
        <v>42598</v>
      </c>
      <c r="N240" s="1087"/>
      <c r="O240" s="1080" t="s">
        <v>8</v>
      </c>
      <c r="P240" s="1086">
        <v>1.18E-2</v>
      </c>
      <c r="Q240" s="1105">
        <f>R240/118</f>
        <v>1595.5700000000002</v>
      </c>
      <c r="R240" s="690">
        <v>188277.26</v>
      </c>
      <c r="S240" s="690" t="s">
        <v>3338</v>
      </c>
      <c r="T240" s="1081">
        <v>12557.79</v>
      </c>
      <c r="U240" s="1082">
        <v>13311.26</v>
      </c>
      <c r="V240" s="1082">
        <f t="shared" si="63"/>
        <v>13311.26</v>
      </c>
      <c r="W240" s="1082">
        <v>10.132</v>
      </c>
      <c r="X240" s="404">
        <f t="shared" si="61"/>
        <v>112.80728813559323</v>
      </c>
      <c r="Y240" s="404">
        <f t="shared" si="62"/>
        <v>1109.2716666666668</v>
      </c>
      <c r="Z240" s="839"/>
      <c r="AA240" s="712">
        <v>1109.29</v>
      </c>
      <c r="AB240" s="406">
        <v>1109.27</v>
      </c>
      <c r="AC240" s="406"/>
      <c r="AD240" s="459"/>
      <c r="AE240" s="406"/>
      <c r="AF240" s="712"/>
      <c r="AG240" s="406"/>
      <c r="AH240" s="406"/>
      <c r="AI240" s="406"/>
      <c r="AJ240" s="791"/>
      <c r="AK240" s="712"/>
      <c r="AL240" s="738"/>
      <c r="AM240" s="406">
        <f t="shared" si="55"/>
        <v>2218.56</v>
      </c>
      <c r="AN240" s="406">
        <f t="shared" si="56"/>
        <v>2218.56</v>
      </c>
      <c r="AO240" s="468"/>
      <c r="AP240" s="404">
        <f t="shared" si="57"/>
        <v>16.666791873947318</v>
      </c>
      <c r="AQ240" s="192">
        <v>13311.26</v>
      </c>
      <c r="AR240" s="416">
        <v>100</v>
      </c>
      <c r="AS240" s="1088">
        <v>44384</v>
      </c>
      <c r="AT240" s="1106" t="s">
        <v>1739</v>
      </c>
      <c r="AU240" s="888" t="s">
        <v>2952</v>
      </c>
      <c r="AV240" s="726"/>
    </row>
    <row r="241" spans="1:48" ht="168.75" x14ac:dyDescent="0.25">
      <c r="A241" s="8">
        <v>228</v>
      </c>
      <c r="B241" s="8">
        <v>144</v>
      </c>
      <c r="C241" s="108" t="s">
        <v>2358</v>
      </c>
      <c r="D241" s="109" t="s">
        <v>2359</v>
      </c>
      <c r="E241" s="115">
        <v>2156308686</v>
      </c>
      <c r="F241" s="110">
        <v>6510700000</v>
      </c>
      <c r="G241" s="110" t="s">
        <v>884</v>
      </c>
      <c r="H241" s="130" t="s">
        <v>885</v>
      </c>
      <c r="I241" s="111" t="s">
        <v>2360</v>
      </c>
      <c r="J241" s="109" t="s">
        <v>2409</v>
      </c>
      <c r="K241" s="113" t="s">
        <v>2361</v>
      </c>
      <c r="L241" s="109" t="s">
        <v>2410</v>
      </c>
      <c r="M241" s="112">
        <v>41893</v>
      </c>
      <c r="N241" s="112" t="s">
        <v>2411</v>
      </c>
      <c r="O241" s="109" t="s">
        <v>8</v>
      </c>
      <c r="P241" s="114">
        <v>3.0000000000000001E-3</v>
      </c>
      <c r="Q241" s="107">
        <f>R241/30</f>
        <v>1030.8333333333333</v>
      </c>
      <c r="R241" s="107">
        <v>30925</v>
      </c>
      <c r="S241" s="107" t="s">
        <v>2362</v>
      </c>
      <c r="T241" s="369"/>
      <c r="U241" s="344">
        <f>R241*W241%</f>
        <v>3711</v>
      </c>
      <c r="V241" s="344">
        <f t="shared" si="63"/>
        <v>3711</v>
      </c>
      <c r="W241" s="345">
        <v>12</v>
      </c>
      <c r="X241" s="345">
        <f t="shared" si="61"/>
        <v>123.7</v>
      </c>
      <c r="Y241" s="345">
        <f t="shared" si="62"/>
        <v>309.25</v>
      </c>
      <c r="Z241" s="807"/>
      <c r="AA241" s="852">
        <v>3711</v>
      </c>
      <c r="AB241" s="359"/>
      <c r="AC241" s="407"/>
      <c r="AD241" s="483"/>
      <c r="AE241" s="422"/>
      <c r="AF241" s="462"/>
      <c r="AG241" s="483"/>
      <c r="AH241" s="502"/>
      <c r="AI241" s="359"/>
      <c r="AJ241" s="751"/>
      <c r="AK241" s="529"/>
      <c r="AL241" s="752"/>
      <c r="AM241" s="340">
        <f t="shared" si="55"/>
        <v>3711</v>
      </c>
      <c r="AN241" s="340">
        <f t="shared" si="56"/>
        <v>3711</v>
      </c>
      <c r="AO241" s="468"/>
      <c r="AP241" s="345">
        <f t="shared" si="57"/>
        <v>100</v>
      </c>
      <c r="AQ241" s="521">
        <v>3711.39</v>
      </c>
      <c r="AR241" s="523">
        <v>100.01050929668553</v>
      </c>
      <c r="AS241" s="164" t="s">
        <v>2412</v>
      </c>
      <c r="AT241" s="125" t="s">
        <v>1769</v>
      </c>
      <c r="AU241" s="113" t="s">
        <v>1850</v>
      </c>
      <c r="AV241" s="306"/>
    </row>
    <row r="242" spans="1:48" ht="281.25" x14ac:dyDescent="0.25">
      <c r="A242" s="8">
        <v>229</v>
      </c>
      <c r="B242" s="706">
        <v>145</v>
      </c>
      <c r="C242" s="624" t="s">
        <v>886</v>
      </c>
      <c r="D242" s="707" t="s">
        <v>887</v>
      </c>
      <c r="E242" s="626">
        <v>2237422318</v>
      </c>
      <c r="F242" s="627">
        <v>6510700000</v>
      </c>
      <c r="G242" s="627" t="s">
        <v>888</v>
      </c>
      <c r="H242" s="708" t="s">
        <v>889</v>
      </c>
      <c r="I242" s="628" t="s">
        <v>236</v>
      </c>
      <c r="J242" s="709" t="s">
        <v>890</v>
      </c>
      <c r="K242" s="643" t="s">
        <v>1528</v>
      </c>
      <c r="L242" s="644" t="s">
        <v>891</v>
      </c>
      <c r="M242" s="645" t="s">
        <v>892</v>
      </c>
      <c r="N242" s="644" t="s">
        <v>3350</v>
      </c>
      <c r="O242" s="139" t="s">
        <v>8</v>
      </c>
      <c r="P242" s="631">
        <v>2.3797999999999999</v>
      </c>
      <c r="Q242" s="137">
        <v>122.72</v>
      </c>
      <c r="R242" s="137">
        <v>2920490.56</v>
      </c>
      <c r="S242" s="710" t="s">
        <v>893</v>
      </c>
      <c r="T242" s="427"/>
      <c r="U242" s="606">
        <f>R242*W242%</f>
        <v>29204.905600000002</v>
      </c>
      <c r="V242" s="606">
        <f t="shared" si="63"/>
        <v>29204.905600000002</v>
      </c>
      <c r="W242" s="606">
        <v>1</v>
      </c>
      <c r="X242" s="606">
        <f t="shared" si="61"/>
        <v>1.2272000000000001</v>
      </c>
      <c r="Y242" s="333">
        <f t="shared" si="62"/>
        <v>2433.7421333333336</v>
      </c>
      <c r="Z242" s="807">
        <v>7301.23</v>
      </c>
      <c r="AA242" s="711">
        <v>2433.7399999999998</v>
      </c>
      <c r="AB242" s="711">
        <v>2433.7399999999998</v>
      </c>
      <c r="AC242" s="712">
        <v>2433.6999999999998</v>
      </c>
      <c r="AD242" s="634">
        <v>2433.6999999999998</v>
      </c>
      <c r="AE242" s="633"/>
      <c r="AF242" s="463"/>
      <c r="AG242" s="713"/>
      <c r="AH242" s="635"/>
      <c r="AI242" s="711"/>
      <c r="AJ242" s="776"/>
      <c r="AK242" s="741"/>
      <c r="AL242" s="731"/>
      <c r="AM242" s="340">
        <f t="shared" si="55"/>
        <v>17036.11</v>
      </c>
      <c r="AN242" s="340">
        <f t="shared" si="56"/>
        <v>9734.8799999999992</v>
      </c>
      <c r="AO242" s="468"/>
      <c r="AP242" s="334">
        <f t="shared" si="57"/>
        <v>58.333042514610966</v>
      </c>
      <c r="AQ242" s="700">
        <v>80313.739999999991</v>
      </c>
      <c r="AR242" s="701">
        <v>183.33389640462241</v>
      </c>
      <c r="AS242" s="714">
        <v>44844</v>
      </c>
      <c r="AT242" s="136" t="s">
        <v>1788</v>
      </c>
      <c r="AU242" s="424" t="s">
        <v>1639</v>
      </c>
    </row>
    <row r="243" spans="1:48" ht="131.25" x14ac:dyDescent="0.25">
      <c r="A243" s="8">
        <v>230</v>
      </c>
      <c r="B243" s="8">
        <v>146</v>
      </c>
      <c r="C243" s="567" t="s">
        <v>2773</v>
      </c>
      <c r="D243" s="220" t="s">
        <v>894</v>
      </c>
      <c r="E243" s="196" t="s">
        <v>1529</v>
      </c>
      <c r="F243" s="198">
        <v>6510700000</v>
      </c>
      <c r="G243" s="198" t="s">
        <v>895</v>
      </c>
      <c r="H243" s="221" t="s">
        <v>896</v>
      </c>
      <c r="I243" s="200" t="s">
        <v>897</v>
      </c>
      <c r="J243" s="222" t="s">
        <v>898</v>
      </c>
      <c r="K243" s="223" t="s">
        <v>1437</v>
      </c>
      <c r="L243" s="224" t="s">
        <v>899</v>
      </c>
      <c r="M243" s="322" t="s">
        <v>900</v>
      </c>
      <c r="N243" s="224"/>
      <c r="O243" s="201" t="s">
        <v>8</v>
      </c>
      <c r="P243" s="225">
        <v>0.12790000000000001</v>
      </c>
      <c r="Q243" s="197">
        <v>755.69</v>
      </c>
      <c r="R243" s="197">
        <v>966527.51000000024</v>
      </c>
      <c r="S243" s="226" t="s">
        <v>901</v>
      </c>
      <c r="T243" s="373"/>
      <c r="U243" s="354">
        <f>R243*W243%</f>
        <v>89403.794675000026</v>
      </c>
      <c r="V243" s="347">
        <f t="shared" si="63"/>
        <v>89403.794675000026</v>
      </c>
      <c r="W243" s="347">
        <v>9.25</v>
      </c>
      <c r="X243" s="333">
        <f t="shared" si="61"/>
        <v>69.901325000000014</v>
      </c>
      <c r="Y243" s="333">
        <f t="shared" si="62"/>
        <v>7450.3162229166692</v>
      </c>
      <c r="Z243" s="807"/>
      <c r="AA243" s="854">
        <v>7450.32</v>
      </c>
      <c r="AB243" s="348">
        <v>7450.32</v>
      </c>
      <c r="AC243" s="406"/>
      <c r="AD243" s="459"/>
      <c r="AE243" s="421"/>
      <c r="AF243" s="463"/>
      <c r="AG243" s="459"/>
      <c r="AH243" s="503"/>
      <c r="AI243" s="348"/>
      <c r="AJ243" s="740"/>
      <c r="AK243" s="741"/>
      <c r="AL243" s="764"/>
      <c r="AM243" s="340">
        <f t="shared" si="55"/>
        <v>14900.64</v>
      </c>
      <c r="AN243" s="340">
        <f t="shared" si="56"/>
        <v>14900.64</v>
      </c>
      <c r="AO243" s="468"/>
      <c r="AP243" s="333">
        <f t="shared" si="57"/>
        <v>16.666675116158871</v>
      </c>
      <c r="AQ243" s="192">
        <v>89403.800000000017</v>
      </c>
      <c r="AR243" s="416">
        <v>100.00000595612302</v>
      </c>
      <c r="AS243" s="227" t="s">
        <v>2600</v>
      </c>
      <c r="AT243" s="228" t="s">
        <v>1789</v>
      </c>
      <c r="AU243" s="200" t="s">
        <v>1713</v>
      </c>
    </row>
    <row r="244" spans="1:48" ht="150" x14ac:dyDescent="0.25">
      <c r="A244" s="8">
        <v>231</v>
      </c>
      <c r="B244" s="8">
        <v>147</v>
      </c>
      <c r="C244" s="277" t="s">
        <v>2927</v>
      </c>
      <c r="D244" s="278" t="s">
        <v>2928</v>
      </c>
      <c r="E244" s="266">
        <v>3256016657</v>
      </c>
      <c r="F244" s="270">
        <v>6510700000</v>
      </c>
      <c r="G244" s="270" t="s">
        <v>2929</v>
      </c>
      <c r="H244" s="287" t="s">
        <v>2930</v>
      </c>
      <c r="I244" s="267" t="s">
        <v>2931</v>
      </c>
      <c r="J244" s="272" t="s">
        <v>2932</v>
      </c>
      <c r="K244" s="271" t="s">
        <v>2925</v>
      </c>
      <c r="L244" s="287" t="s">
        <v>2933</v>
      </c>
      <c r="M244" s="300">
        <v>43733</v>
      </c>
      <c r="N244" s="287"/>
      <c r="O244" s="265" t="s">
        <v>8</v>
      </c>
      <c r="P244" s="268">
        <v>3.5000000000000003E-2</v>
      </c>
      <c r="Q244" s="269">
        <f>R244/350</f>
        <v>755.88431428571437</v>
      </c>
      <c r="R244" s="269">
        <v>264559.51</v>
      </c>
      <c r="S244" s="274" t="s">
        <v>2934</v>
      </c>
      <c r="T244" s="374">
        <v>9127.19</v>
      </c>
      <c r="U244" s="349">
        <v>9127.17</v>
      </c>
      <c r="V244" s="349">
        <f t="shared" si="63"/>
        <v>9127.17</v>
      </c>
      <c r="W244" s="349">
        <v>3.45</v>
      </c>
      <c r="X244" s="349">
        <f>U244/(P244*10000)</f>
        <v>26.077628571428569</v>
      </c>
      <c r="Y244" s="349">
        <f t="shared" si="62"/>
        <v>760.59749999999997</v>
      </c>
      <c r="Z244" s="840"/>
      <c r="AA244" s="475"/>
      <c r="AB244" s="410"/>
      <c r="AC244" s="408"/>
      <c r="AD244" s="486"/>
      <c r="AE244" s="410"/>
      <c r="AF244" s="475"/>
      <c r="AG244" s="410"/>
      <c r="AH244" s="410"/>
      <c r="AI244" s="410"/>
      <c r="AJ244" s="749"/>
      <c r="AK244" s="475"/>
      <c r="AL244" s="561"/>
      <c r="AM244" s="340">
        <f t="shared" si="55"/>
        <v>0</v>
      </c>
      <c r="AN244" s="340">
        <f t="shared" si="56"/>
        <v>0</v>
      </c>
      <c r="AO244" s="468"/>
      <c r="AP244" s="349">
        <f t="shared" si="57"/>
        <v>0</v>
      </c>
      <c r="AQ244" s="690">
        <v>396.84</v>
      </c>
      <c r="AR244" s="695">
        <v>16.304562187746516</v>
      </c>
      <c r="AS244" s="310">
        <v>45553</v>
      </c>
      <c r="AT244" s="377" t="s">
        <v>1781</v>
      </c>
      <c r="AU244" s="267" t="s">
        <v>1713</v>
      </c>
    </row>
    <row r="245" spans="1:48" ht="225" x14ac:dyDescent="0.25">
      <c r="A245" s="8">
        <v>232</v>
      </c>
      <c r="B245" s="266"/>
      <c r="C245" s="277" t="s">
        <v>2927</v>
      </c>
      <c r="D245" s="278" t="s">
        <v>2928</v>
      </c>
      <c r="E245" s="266">
        <v>3256016657</v>
      </c>
      <c r="F245" s="270">
        <v>6510700000</v>
      </c>
      <c r="G245" s="270" t="s">
        <v>3088</v>
      </c>
      <c r="H245" s="287" t="s">
        <v>3089</v>
      </c>
      <c r="I245" s="267" t="s">
        <v>3090</v>
      </c>
      <c r="J245" s="272" t="s">
        <v>3091</v>
      </c>
      <c r="K245" s="271" t="s">
        <v>3092</v>
      </c>
      <c r="L245" s="287" t="s">
        <v>3093</v>
      </c>
      <c r="M245" s="300">
        <v>43742</v>
      </c>
      <c r="N245" s="287"/>
      <c r="O245" s="265" t="s">
        <v>8</v>
      </c>
      <c r="P245" s="268">
        <v>0.54090000000000005</v>
      </c>
      <c r="Q245" s="269">
        <f>R245/5409</f>
        <v>317.39</v>
      </c>
      <c r="R245" s="269">
        <v>1716762.51</v>
      </c>
      <c r="S245" s="274" t="s">
        <v>3094</v>
      </c>
      <c r="T245" s="374">
        <v>19056.11</v>
      </c>
      <c r="U245" s="349">
        <v>19056.11</v>
      </c>
      <c r="V245" s="349">
        <f t="shared" si="63"/>
        <v>19056.11</v>
      </c>
      <c r="W245" s="349">
        <v>1.1100000000000001</v>
      </c>
      <c r="X245" s="349">
        <f>U245/(P245*10000)</f>
        <v>3.5230375300425214</v>
      </c>
      <c r="Y245" s="349">
        <f t="shared" si="62"/>
        <v>1588.0091666666667</v>
      </c>
      <c r="Z245" s="840"/>
      <c r="AA245" s="475"/>
      <c r="AB245" s="410"/>
      <c r="AC245" s="408"/>
      <c r="AD245" s="486"/>
      <c r="AE245" s="410"/>
      <c r="AF245" s="475"/>
      <c r="AG245" s="410"/>
      <c r="AH245" s="410"/>
      <c r="AI245" s="410"/>
      <c r="AJ245" s="765"/>
      <c r="AK245" s="475"/>
      <c r="AL245" s="561"/>
      <c r="AM245" s="340">
        <f t="shared" si="55"/>
        <v>0</v>
      </c>
      <c r="AN245" s="340">
        <f t="shared" si="56"/>
        <v>0</v>
      </c>
      <c r="AO245" s="468"/>
      <c r="AP245" s="349">
        <f t="shared" si="57"/>
        <v>0</v>
      </c>
      <c r="AQ245" s="690">
        <v>7902.76</v>
      </c>
      <c r="AR245" s="695">
        <v>112.18531652182307</v>
      </c>
      <c r="AS245" s="310">
        <v>45562</v>
      </c>
      <c r="AT245" s="377" t="s">
        <v>3095</v>
      </c>
      <c r="AU245" s="267" t="s">
        <v>3096</v>
      </c>
      <c r="AV245" s="1">
        <v>960862818</v>
      </c>
    </row>
    <row r="246" spans="1:48" ht="187.5" x14ac:dyDescent="0.25">
      <c r="A246" s="8">
        <v>233</v>
      </c>
      <c r="B246" s="530">
        <v>148</v>
      </c>
      <c r="C246" s="119" t="s">
        <v>2024</v>
      </c>
      <c r="D246" s="120" t="s">
        <v>2025</v>
      </c>
      <c r="E246" s="115">
        <v>2475804429</v>
      </c>
      <c r="F246" s="110">
        <v>6510700000</v>
      </c>
      <c r="G246" s="110" t="s">
        <v>2026</v>
      </c>
      <c r="H246" s="121" t="s">
        <v>2027</v>
      </c>
      <c r="I246" s="113" t="s">
        <v>2028</v>
      </c>
      <c r="J246" s="129" t="s">
        <v>2029</v>
      </c>
      <c r="K246" s="111" t="s">
        <v>2030</v>
      </c>
      <c r="L246" s="121" t="s">
        <v>2031</v>
      </c>
      <c r="M246" s="126" t="s">
        <v>2032</v>
      </c>
      <c r="N246" s="121"/>
      <c r="O246" s="109" t="s">
        <v>8</v>
      </c>
      <c r="P246" s="114">
        <v>3.9100000000000003E-2</v>
      </c>
      <c r="Q246" s="107">
        <v>2217.75</v>
      </c>
      <c r="R246" s="107">
        <f>Q246*391</f>
        <v>867140.25</v>
      </c>
      <c r="S246" s="133" t="s">
        <v>2033</v>
      </c>
      <c r="T246" s="369"/>
      <c r="U246" s="344">
        <f>R246*W246%</f>
        <v>26014.2075</v>
      </c>
      <c r="V246" s="344">
        <f t="shared" si="63"/>
        <v>26014.2075</v>
      </c>
      <c r="W246" s="344">
        <v>3</v>
      </c>
      <c r="X246" s="344">
        <f t="shared" ref="X246:X251" si="64">V246/(P246*10000)</f>
        <v>66.532499999999999</v>
      </c>
      <c r="Y246" s="344">
        <f t="shared" si="62"/>
        <v>2167.850625</v>
      </c>
      <c r="Z246" s="840"/>
      <c r="AA246" s="529"/>
      <c r="AB246" s="364"/>
      <c r="AC246" s="407"/>
      <c r="AD246" s="483"/>
      <c r="AE246" s="422"/>
      <c r="AF246" s="462"/>
      <c r="AG246" s="459"/>
      <c r="AH246" s="502"/>
      <c r="AI246" s="364"/>
      <c r="AJ246" s="751"/>
      <c r="AK246" s="529"/>
      <c r="AL246" s="756"/>
      <c r="AM246" s="340">
        <f t="shared" si="55"/>
        <v>0</v>
      </c>
      <c r="AN246" s="340">
        <f t="shared" si="56"/>
        <v>0</v>
      </c>
      <c r="AO246" s="468"/>
      <c r="AP246" s="333">
        <f t="shared" si="57"/>
        <v>0</v>
      </c>
      <c r="AQ246" s="521">
        <v>17325</v>
      </c>
      <c r="AR246" s="523">
        <v>73.367276373789011</v>
      </c>
      <c r="AS246" s="164" t="s">
        <v>2560</v>
      </c>
      <c r="AT246" s="125" t="s">
        <v>2034</v>
      </c>
      <c r="AU246" s="113" t="s">
        <v>1634</v>
      </c>
      <c r="AV246" s="1">
        <v>960862818</v>
      </c>
    </row>
    <row r="247" spans="1:48" ht="168.75" x14ac:dyDescent="0.25">
      <c r="A247" s="414">
        <v>234</v>
      </c>
      <c r="B247" s="569">
        <v>149</v>
      </c>
      <c r="C247" s="818" t="s">
        <v>1941</v>
      </c>
      <c r="D247" s="954" t="s">
        <v>3231</v>
      </c>
      <c r="E247" s="569">
        <v>1699901829</v>
      </c>
      <c r="F247" s="821">
        <v>6510700000</v>
      </c>
      <c r="G247" s="820" t="s">
        <v>902</v>
      </c>
      <c r="H247" s="823" t="s">
        <v>903</v>
      </c>
      <c r="I247" s="835" t="s">
        <v>908</v>
      </c>
      <c r="J247" s="825" t="s">
        <v>2830</v>
      </c>
      <c r="K247" s="824" t="s">
        <v>1942</v>
      </c>
      <c r="L247" s="825" t="s">
        <v>2829</v>
      </c>
      <c r="M247" s="825">
        <v>42704</v>
      </c>
      <c r="N247" s="825" t="s">
        <v>3295</v>
      </c>
      <c r="O247" s="820" t="s">
        <v>8</v>
      </c>
      <c r="P247" s="955">
        <v>5.0000000000000001E-3</v>
      </c>
      <c r="Q247" s="687">
        <f>R247/50</f>
        <v>1836.14</v>
      </c>
      <c r="R247" s="687">
        <v>91807</v>
      </c>
      <c r="S247" s="569" t="s">
        <v>3204</v>
      </c>
      <c r="T247" s="828"/>
      <c r="U247" s="829">
        <f>R247*W247%</f>
        <v>7344.56</v>
      </c>
      <c r="V247" s="829">
        <f t="shared" si="63"/>
        <v>7344.56</v>
      </c>
      <c r="W247" s="829">
        <v>8</v>
      </c>
      <c r="X247" s="829">
        <f t="shared" si="64"/>
        <v>146.8912</v>
      </c>
      <c r="Y247" s="829">
        <f t="shared" si="62"/>
        <v>612.04666666666674</v>
      </c>
      <c r="Z247" s="956"/>
      <c r="AA247" s="611"/>
      <c r="AB247" s="611"/>
      <c r="AC247" s="611">
        <v>1839</v>
      </c>
      <c r="AD247" s="594"/>
      <c r="AE247" s="611"/>
      <c r="AF247" s="611"/>
      <c r="AG247" s="611"/>
      <c r="AH247" s="611"/>
      <c r="AI247" s="611"/>
      <c r="AJ247" s="831"/>
      <c r="AK247" s="611"/>
      <c r="AL247" s="832"/>
      <c r="AM247" s="406">
        <f t="shared" si="55"/>
        <v>1839</v>
      </c>
      <c r="AN247" s="406">
        <f t="shared" si="56"/>
        <v>1839</v>
      </c>
      <c r="AO247" s="468"/>
      <c r="AP247" s="829">
        <f t="shared" si="57"/>
        <v>25.038940385809358</v>
      </c>
      <c r="AQ247" s="687">
        <v>7455.78</v>
      </c>
      <c r="AR247" s="688">
        <v>101.51431808032066</v>
      </c>
      <c r="AS247" s="833" t="s">
        <v>3296</v>
      </c>
      <c r="AT247" s="957" t="s">
        <v>1790</v>
      </c>
      <c r="AU247" s="835" t="s">
        <v>1634</v>
      </c>
    </row>
    <row r="248" spans="1:48" ht="168.75" x14ac:dyDescent="0.25">
      <c r="A248" s="8">
        <v>235</v>
      </c>
      <c r="B248" s="564">
        <v>150</v>
      </c>
      <c r="C248" s="119" t="s">
        <v>1938</v>
      </c>
      <c r="D248" s="120" t="s">
        <v>3098</v>
      </c>
      <c r="E248" s="115">
        <v>2771119758</v>
      </c>
      <c r="F248" s="110">
        <v>6510700000</v>
      </c>
      <c r="G248" s="109" t="s">
        <v>904</v>
      </c>
      <c r="H248" s="130" t="s">
        <v>905</v>
      </c>
      <c r="I248" s="113" t="s">
        <v>2353</v>
      </c>
      <c r="J248" s="113" t="s">
        <v>906</v>
      </c>
      <c r="K248" s="242"/>
      <c r="L248" s="113" t="s">
        <v>2354</v>
      </c>
      <c r="M248" s="112" t="s">
        <v>907</v>
      </c>
      <c r="N248" s="113" t="s">
        <v>2355</v>
      </c>
      <c r="O248" s="109" t="s">
        <v>8</v>
      </c>
      <c r="P248" s="122">
        <v>2.5000000000000001E-3</v>
      </c>
      <c r="Q248" s="123">
        <f>R248/25</f>
        <v>1404.59</v>
      </c>
      <c r="R248" s="107">
        <v>35114.75</v>
      </c>
      <c r="S248" s="115" t="s">
        <v>2356</v>
      </c>
      <c r="T248" s="369"/>
      <c r="U248" s="344">
        <v>2106.89</v>
      </c>
      <c r="V248" s="344">
        <f t="shared" si="63"/>
        <v>2106.89</v>
      </c>
      <c r="W248" s="344">
        <v>6</v>
      </c>
      <c r="X248" s="344">
        <f t="shared" si="64"/>
        <v>84.275599999999997</v>
      </c>
      <c r="Y248" s="344">
        <f t="shared" si="62"/>
        <v>175.57416666666666</v>
      </c>
      <c r="Z248" s="840">
        <v>180</v>
      </c>
      <c r="AA248" s="529"/>
      <c r="AB248" s="364"/>
      <c r="AC248" s="407"/>
      <c r="AD248" s="483"/>
      <c r="AE248" s="422"/>
      <c r="AF248" s="462"/>
      <c r="AG248" s="483"/>
      <c r="AH248" s="502"/>
      <c r="AI248" s="364"/>
      <c r="AJ248" s="751"/>
      <c r="AK248" s="529"/>
      <c r="AL248" s="756"/>
      <c r="AM248" s="340">
        <f t="shared" si="55"/>
        <v>180</v>
      </c>
      <c r="AN248" s="340">
        <f t="shared" si="56"/>
        <v>0</v>
      </c>
      <c r="AO248" s="468"/>
      <c r="AP248" s="344">
        <f t="shared" si="57"/>
        <v>8.5433980891266277</v>
      </c>
      <c r="AQ248" s="521">
        <v>2267</v>
      </c>
      <c r="AR248" s="523">
        <v>107.59935260027814</v>
      </c>
      <c r="AS248" s="164" t="s">
        <v>2524</v>
      </c>
      <c r="AT248" s="126" t="s">
        <v>1780</v>
      </c>
      <c r="AU248" s="113" t="s">
        <v>1634</v>
      </c>
    </row>
    <row r="249" spans="1:48" ht="262.5" x14ac:dyDescent="0.25">
      <c r="A249" s="8">
        <v>236</v>
      </c>
      <c r="B249" s="9">
        <v>151</v>
      </c>
      <c r="C249" s="277" t="s">
        <v>2103</v>
      </c>
      <c r="D249" s="278" t="s">
        <v>909</v>
      </c>
      <c r="E249" s="266">
        <v>2994817095</v>
      </c>
      <c r="F249" s="270">
        <v>6510700000</v>
      </c>
      <c r="G249" s="270" t="s">
        <v>3249</v>
      </c>
      <c r="H249" s="270" t="s">
        <v>910</v>
      </c>
      <c r="I249" s="271" t="s">
        <v>2102</v>
      </c>
      <c r="J249" s="283" t="s">
        <v>2717</v>
      </c>
      <c r="K249" s="267" t="s">
        <v>2718</v>
      </c>
      <c r="L249" s="265" t="s">
        <v>2719</v>
      </c>
      <c r="M249" s="283">
        <v>42429</v>
      </c>
      <c r="N249" s="265" t="s">
        <v>2747</v>
      </c>
      <c r="O249" s="265" t="s">
        <v>8</v>
      </c>
      <c r="P249" s="268">
        <v>0.16550000000000001</v>
      </c>
      <c r="Q249" s="269">
        <v>124.36</v>
      </c>
      <c r="R249" s="269">
        <v>213627.4</v>
      </c>
      <c r="S249" s="269" t="s">
        <v>2720</v>
      </c>
      <c r="T249" s="374">
        <v>60807.65</v>
      </c>
      <c r="U249" s="349">
        <f>R249*W249%</f>
        <v>19418.730659999997</v>
      </c>
      <c r="V249" s="349">
        <f t="shared" si="63"/>
        <v>19418.730659999997</v>
      </c>
      <c r="W249" s="350">
        <v>9.09</v>
      </c>
      <c r="X249" s="333">
        <f t="shared" si="64"/>
        <v>11.733371999999999</v>
      </c>
      <c r="Y249" s="333">
        <f t="shared" si="62"/>
        <v>1618.2275549999997</v>
      </c>
      <c r="Z249" s="807"/>
      <c r="AA249" s="711">
        <v>1618.23</v>
      </c>
      <c r="AB249" s="340">
        <v>1618.23</v>
      </c>
      <c r="AC249" s="406"/>
      <c r="AD249" s="459">
        <v>1618.23</v>
      </c>
      <c r="AE249" s="421"/>
      <c r="AF249" s="463"/>
      <c r="AG249" s="459"/>
      <c r="AH249" s="503"/>
      <c r="AI249" s="340"/>
      <c r="AJ249" s="740"/>
      <c r="AK249" s="741"/>
      <c r="AL249" s="732"/>
      <c r="AM249" s="340">
        <f t="shared" si="55"/>
        <v>4854.6900000000005</v>
      </c>
      <c r="AN249" s="340">
        <f t="shared" si="56"/>
        <v>4854.6900000000005</v>
      </c>
      <c r="AO249" s="468"/>
      <c r="AP249" s="333">
        <f t="shared" si="57"/>
        <v>25.000037772808788</v>
      </c>
      <c r="AQ249" s="192">
        <v>18898.39</v>
      </c>
      <c r="AR249" s="416">
        <v>97.320418779627914</v>
      </c>
      <c r="AS249" s="140">
        <v>44553</v>
      </c>
      <c r="AT249" s="64" t="s">
        <v>1781</v>
      </c>
      <c r="AU249" s="13" t="s">
        <v>1713</v>
      </c>
      <c r="AV249" s="1"/>
    </row>
    <row r="250" spans="1:48" ht="131.25" x14ac:dyDescent="0.25">
      <c r="A250" s="8">
        <v>237</v>
      </c>
      <c r="B250" s="266"/>
      <c r="C250" s="277" t="s">
        <v>2721</v>
      </c>
      <c r="D250" s="278" t="s">
        <v>909</v>
      </c>
      <c r="E250" s="266">
        <v>2994817095</v>
      </c>
      <c r="F250" s="270">
        <v>6510700000</v>
      </c>
      <c r="G250" s="266" t="s">
        <v>3248</v>
      </c>
      <c r="H250" s="266" t="s">
        <v>911</v>
      </c>
      <c r="I250" s="271" t="s">
        <v>2722</v>
      </c>
      <c r="J250" s="265" t="s">
        <v>2723</v>
      </c>
      <c r="K250" s="267" t="s">
        <v>2724</v>
      </c>
      <c r="L250" s="265" t="s">
        <v>2725</v>
      </c>
      <c r="M250" s="283">
        <v>42429</v>
      </c>
      <c r="N250" s="265" t="s">
        <v>2747</v>
      </c>
      <c r="O250" s="265" t="s">
        <v>8</v>
      </c>
      <c r="P250" s="268">
        <v>0.06</v>
      </c>
      <c r="Q250" s="269">
        <v>124.36</v>
      </c>
      <c r="R250" s="269">
        <v>74616</v>
      </c>
      <c r="S250" s="269" t="s">
        <v>2726</v>
      </c>
      <c r="T250" s="374">
        <v>24737.040000000001</v>
      </c>
      <c r="U250" s="349">
        <f>R250*W250%</f>
        <v>7573.5240000000003</v>
      </c>
      <c r="V250" s="349">
        <f t="shared" si="63"/>
        <v>7573.5240000000003</v>
      </c>
      <c r="W250" s="350">
        <v>10.15</v>
      </c>
      <c r="X250" s="333">
        <f t="shared" si="64"/>
        <v>12.622540000000001</v>
      </c>
      <c r="Y250" s="333">
        <f t="shared" si="62"/>
        <v>631.12700000000007</v>
      </c>
      <c r="Z250" s="807"/>
      <c r="AA250" s="711">
        <v>631.13</v>
      </c>
      <c r="AB250" s="340">
        <v>631.13</v>
      </c>
      <c r="AC250" s="406"/>
      <c r="AD250" s="459">
        <v>631.13</v>
      </c>
      <c r="AE250" s="421"/>
      <c r="AF250" s="463"/>
      <c r="AG250" s="459"/>
      <c r="AH250" s="503"/>
      <c r="AI250" s="340"/>
      <c r="AJ250" s="740"/>
      <c r="AK250" s="741"/>
      <c r="AL250" s="732"/>
      <c r="AM250" s="340">
        <f t="shared" si="55"/>
        <v>1893.3899999999999</v>
      </c>
      <c r="AN250" s="340">
        <f t="shared" si="56"/>
        <v>1893.3899999999999</v>
      </c>
      <c r="AO250" s="468"/>
      <c r="AP250" s="333">
        <f t="shared" si="57"/>
        <v>25.000118835036371</v>
      </c>
      <c r="AQ250" s="192">
        <v>7209.4869999999992</v>
      </c>
      <c r="AR250" s="416">
        <v>95.193294429383187</v>
      </c>
      <c r="AS250" s="140">
        <v>44222</v>
      </c>
      <c r="AT250" s="64" t="s">
        <v>2727</v>
      </c>
      <c r="AU250" s="13" t="s">
        <v>1713</v>
      </c>
      <c r="AV250" s="490" t="s">
        <v>2715</v>
      </c>
    </row>
    <row r="251" spans="1:48" ht="131.25" x14ac:dyDescent="0.25">
      <c r="A251" s="8">
        <v>238</v>
      </c>
      <c r="B251" s="266"/>
      <c r="C251" s="277" t="s">
        <v>912</v>
      </c>
      <c r="D251" s="278" t="s">
        <v>909</v>
      </c>
      <c r="E251" s="266">
        <v>2994817095</v>
      </c>
      <c r="F251" s="270">
        <v>6510700000</v>
      </c>
      <c r="G251" s="266" t="s">
        <v>913</v>
      </c>
      <c r="H251" s="266" t="s">
        <v>2694</v>
      </c>
      <c r="I251" s="271" t="s">
        <v>914</v>
      </c>
      <c r="J251" s="265" t="s">
        <v>2716</v>
      </c>
      <c r="K251" s="273" t="s">
        <v>840</v>
      </c>
      <c r="L251" s="290" t="s">
        <v>915</v>
      </c>
      <c r="M251" s="283" t="s">
        <v>916</v>
      </c>
      <c r="N251" s="265"/>
      <c r="O251" s="265" t="s">
        <v>8</v>
      </c>
      <c r="P251" s="268">
        <v>6.3399999999999998E-2</v>
      </c>
      <c r="Q251" s="269">
        <f>R251/634</f>
        <v>621.86</v>
      </c>
      <c r="R251" s="269">
        <v>394259.24</v>
      </c>
      <c r="S251" s="269" t="s">
        <v>917</v>
      </c>
      <c r="T251" s="374">
        <v>13187.99</v>
      </c>
      <c r="U251" s="349">
        <v>13187.99</v>
      </c>
      <c r="V251" s="349">
        <f t="shared" si="63"/>
        <v>13187.99</v>
      </c>
      <c r="W251" s="350">
        <v>3.35</v>
      </c>
      <c r="X251" s="333">
        <f t="shared" si="64"/>
        <v>20.801246056782333</v>
      </c>
      <c r="Y251" s="333">
        <f t="shared" si="62"/>
        <v>1098.9991666666667</v>
      </c>
      <c r="Z251" s="807"/>
      <c r="AA251" s="711">
        <v>1099</v>
      </c>
      <c r="AB251" s="340">
        <v>1099</v>
      </c>
      <c r="AC251" s="406"/>
      <c r="AD251" s="459">
        <v>1099</v>
      </c>
      <c r="AE251" s="421"/>
      <c r="AF251" s="463"/>
      <c r="AG251" s="459"/>
      <c r="AH251" s="503"/>
      <c r="AI251" s="340"/>
      <c r="AJ251" s="740"/>
      <c r="AK251" s="741"/>
      <c r="AL251" s="732"/>
      <c r="AM251" s="340">
        <f t="shared" si="55"/>
        <v>3297</v>
      </c>
      <c r="AN251" s="340">
        <f t="shared" si="56"/>
        <v>3297</v>
      </c>
      <c r="AO251" s="468"/>
      <c r="AP251" s="333">
        <f t="shared" si="57"/>
        <v>25.000018956641611</v>
      </c>
      <c r="AQ251" s="192">
        <v>15395.76498</v>
      </c>
      <c r="AR251" s="416">
        <v>116.74079962147377</v>
      </c>
      <c r="AS251" s="140" t="s">
        <v>1792</v>
      </c>
      <c r="AT251" s="64" t="s">
        <v>1793</v>
      </c>
      <c r="AU251" s="13" t="s">
        <v>1634</v>
      </c>
      <c r="AV251" s="1"/>
    </row>
    <row r="252" spans="1:48" ht="150" x14ac:dyDescent="0.25">
      <c r="A252" s="8">
        <v>239</v>
      </c>
      <c r="B252" s="266"/>
      <c r="C252" s="277" t="s">
        <v>2707</v>
      </c>
      <c r="D252" s="278" t="s">
        <v>909</v>
      </c>
      <c r="E252" s="266">
        <v>2994817095</v>
      </c>
      <c r="F252" s="270">
        <v>6510700000</v>
      </c>
      <c r="G252" s="266" t="s">
        <v>2708</v>
      </c>
      <c r="H252" s="266" t="s">
        <v>910</v>
      </c>
      <c r="I252" s="271" t="s">
        <v>2709</v>
      </c>
      <c r="J252" s="265" t="s">
        <v>2710</v>
      </c>
      <c r="K252" s="273" t="s">
        <v>2711</v>
      </c>
      <c r="L252" s="290" t="s">
        <v>2712</v>
      </c>
      <c r="M252" s="283">
        <v>43686</v>
      </c>
      <c r="N252" s="265"/>
      <c r="O252" s="265" t="s">
        <v>8</v>
      </c>
      <c r="P252" s="268">
        <v>8.0600000000000005E-2</v>
      </c>
      <c r="Q252" s="269">
        <f>R252/806</f>
        <v>621.87</v>
      </c>
      <c r="R252" s="269">
        <v>501227.22</v>
      </c>
      <c r="S252" s="269" t="s">
        <v>2713</v>
      </c>
      <c r="T252" s="374">
        <v>15487.9</v>
      </c>
      <c r="U252" s="349">
        <v>15487.9</v>
      </c>
      <c r="V252" s="349">
        <f t="shared" si="63"/>
        <v>15487.9</v>
      </c>
      <c r="W252" s="350">
        <v>3.09</v>
      </c>
      <c r="X252" s="333">
        <f>U252/(P252*10000)</f>
        <v>19.215756823821341</v>
      </c>
      <c r="Y252" s="333">
        <f t="shared" si="62"/>
        <v>1290.6583333333333</v>
      </c>
      <c r="Z252" s="807"/>
      <c r="AA252" s="711">
        <v>1290.6600000000001</v>
      </c>
      <c r="AB252" s="340">
        <v>1290.6500000000001</v>
      </c>
      <c r="AC252" s="406"/>
      <c r="AD252" s="459">
        <v>1290.6500000000001</v>
      </c>
      <c r="AE252" s="421"/>
      <c r="AF252" s="463"/>
      <c r="AG252" s="459"/>
      <c r="AH252" s="503"/>
      <c r="AI252" s="340"/>
      <c r="AJ252" s="740"/>
      <c r="AK252" s="750"/>
      <c r="AL252" s="732"/>
      <c r="AM252" s="340">
        <f t="shared" si="55"/>
        <v>3871.9600000000005</v>
      </c>
      <c r="AN252" s="340">
        <f t="shared" si="56"/>
        <v>3871.9600000000005</v>
      </c>
      <c r="AO252" s="468"/>
      <c r="AP252" s="333">
        <f t="shared" si="57"/>
        <v>24.999903150201128</v>
      </c>
      <c r="AQ252" s="192">
        <v>4815.99</v>
      </c>
      <c r="AR252" s="416">
        <v>78.68968976656106</v>
      </c>
      <c r="AS252" s="140">
        <v>45497</v>
      </c>
      <c r="AT252" s="64" t="s">
        <v>1781</v>
      </c>
      <c r="AU252" s="13" t="s">
        <v>1713</v>
      </c>
    </row>
    <row r="253" spans="1:48" ht="243.75" x14ac:dyDescent="0.25">
      <c r="A253" s="8">
        <v>240</v>
      </c>
      <c r="B253" s="266">
        <v>152</v>
      </c>
      <c r="C253" s="277" t="s">
        <v>2991</v>
      </c>
      <c r="D253" s="278" t="s">
        <v>918</v>
      </c>
      <c r="E253" s="266">
        <v>2098312198</v>
      </c>
      <c r="F253" s="270">
        <v>6510700000</v>
      </c>
      <c r="G253" s="266" t="s">
        <v>919</v>
      </c>
      <c r="H253" s="266" t="s">
        <v>920</v>
      </c>
      <c r="I253" s="271" t="s">
        <v>921</v>
      </c>
      <c r="J253" s="265" t="s">
        <v>922</v>
      </c>
      <c r="K253" s="273" t="s">
        <v>1530</v>
      </c>
      <c r="L253" s="290" t="s">
        <v>923</v>
      </c>
      <c r="M253" s="283" t="s">
        <v>924</v>
      </c>
      <c r="N253" s="265"/>
      <c r="O253" s="265" t="s">
        <v>8</v>
      </c>
      <c r="P253" s="268">
        <v>5.9799999999999999E-2</v>
      </c>
      <c r="Q253" s="269">
        <v>422.81</v>
      </c>
      <c r="R253" s="269">
        <v>252840.38</v>
      </c>
      <c r="S253" s="269" t="s">
        <v>925</v>
      </c>
      <c r="T253" s="374">
        <v>8230.02</v>
      </c>
      <c r="U253" s="349">
        <v>8230.02</v>
      </c>
      <c r="V253" s="349">
        <f t="shared" si="63"/>
        <v>8230.02</v>
      </c>
      <c r="W253" s="350">
        <v>3.26</v>
      </c>
      <c r="X253" s="333">
        <f>V253/(P253*10000)</f>
        <v>13.762575250836122</v>
      </c>
      <c r="Y253" s="333">
        <f t="shared" si="62"/>
        <v>685.83500000000004</v>
      </c>
      <c r="Z253" s="839">
        <v>7500</v>
      </c>
      <c r="AA253" s="711"/>
      <c r="AB253" s="340"/>
      <c r="AC253" s="406"/>
      <c r="AD253" s="459"/>
      <c r="AE253" s="421"/>
      <c r="AF253" s="463"/>
      <c r="AG253" s="459"/>
      <c r="AH253" s="503"/>
      <c r="AI253" s="340"/>
      <c r="AJ253" s="740"/>
      <c r="AK253" s="741"/>
      <c r="AL253" s="732"/>
      <c r="AM253" s="340">
        <f t="shared" si="55"/>
        <v>7500</v>
      </c>
      <c r="AN253" s="340">
        <f t="shared" si="56"/>
        <v>0</v>
      </c>
      <c r="AO253" s="468"/>
      <c r="AP253" s="333">
        <f t="shared" si="57"/>
        <v>91.129790693096737</v>
      </c>
      <c r="AQ253" s="192">
        <v>4200</v>
      </c>
      <c r="AR253" s="416">
        <v>51.032682788134167</v>
      </c>
      <c r="AS253" s="140" t="s">
        <v>2606</v>
      </c>
      <c r="AT253" s="64" t="s">
        <v>1794</v>
      </c>
      <c r="AU253" s="13" t="s">
        <v>1634</v>
      </c>
    </row>
    <row r="254" spans="1:48" ht="225" x14ac:dyDescent="0.25">
      <c r="A254" s="8">
        <v>241</v>
      </c>
      <c r="B254" s="266"/>
      <c r="C254" s="277" t="s">
        <v>2991</v>
      </c>
      <c r="D254" s="278" t="s">
        <v>918</v>
      </c>
      <c r="E254" s="266">
        <v>2098312198</v>
      </c>
      <c r="F254" s="270">
        <v>6510700000</v>
      </c>
      <c r="G254" s="266" t="s">
        <v>3195</v>
      </c>
      <c r="H254" s="266" t="s">
        <v>3196</v>
      </c>
      <c r="I254" s="271" t="s">
        <v>3197</v>
      </c>
      <c r="J254" s="290" t="s">
        <v>3199</v>
      </c>
      <c r="K254" s="273" t="s">
        <v>3092</v>
      </c>
      <c r="L254" s="290" t="s">
        <v>3198</v>
      </c>
      <c r="M254" s="283">
        <v>43788</v>
      </c>
      <c r="N254" s="265"/>
      <c r="O254" s="265" t="s">
        <v>8</v>
      </c>
      <c r="P254" s="435">
        <v>4.6800000000000001E-2</v>
      </c>
      <c r="Q254" s="436">
        <f>R254/468</f>
        <v>422.82</v>
      </c>
      <c r="R254" s="269">
        <v>197879.76</v>
      </c>
      <c r="S254" s="269" t="s">
        <v>3200</v>
      </c>
      <c r="T254" s="374">
        <v>6648.71</v>
      </c>
      <c r="U254" s="349">
        <v>6648.71</v>
      </c>
      <c r="V254" s="349">
        <f t="shared" si="63"/>
        <v>6648.71</v>
      </c>
      <c r="W254" s="350">
        <v>3.36</v>
      </c>
      <c r="X254" s="333">
        <f>U254/(P254*10000)</f>
        <v>14.206645299145299</v>
      </c>
      <c r="Y254" s="333">
        <f t="shared" si="62"/>
        <v>554.05916666666667</v>
      </c>
      <c r="Z254" s="807"/>
      <c r="AA254" s="711"/>
      <c r="AB254" s="340"/>
      <c r="AC254" s="406"/>
      <c r="AD254" s="459"/>
      <c r="AE254" s="778"/>
      <c r="AF254" s="463"/>
      <c r="AG254" s="459"/>
      <c r="AH254" s="503"/>
      <c r="AI254" s="340"/>
      <c r="AJ254" s="740"/>
      <c r="AK254" s="741"/>
      <c r="AL254" s="732"/>
      <c r="AM254" s="340">
        <f t="shared" si="55"/>
        <v>0</v>
      </c>
      <c r="AN254" s="340">
        <f t="shared" si="56"/>
        <v>0</v>
      </c>
      <c r="AO254" s="468"/>
      <c r="AP254" s="333">
        <f t="shared" si="57"/>
        <v>0</v>
      </c>
      <c r="AQ254" s="192">
        <v>796.81999999999994</v>
      </c>
      <c r="AR254" s="416">
        <v>102.72535066006601</v>
      </c>
      <c r="AS254" s="140">
        <v>45562</v>
      </c>
      <c r="AT254" s="64" t="s">
        <v>3201</v>
      </c>
      <c r="AU254" s="52" t="s">
        <v>1634</v>
      </c>
      <c r="AV254" s="489" t="s">
        <v>2714</v>
      </c>
    </row>
    <row r="255" spans="1:48" ht="206.25" x14ac:dyDescent="0.25">
      <c r="A255" s="8">
        <v>242</v>
      </c>
      <c r="B255" s="530">
        <v>153</v>
      </c>
      <c r="C255" s="277" t="s">
        <v>2992</v>
      </c>
      <c r="D255" s="278" t="s">
        <v>2993</v>
      </c>
      <c r="E255" s="266">
        <v>3031706964</v>
      </c>
      <c r="F255" s="270">
        <v>6510700000</v>
      </c>
      <c r="G255" s="266" t="s">
        <v>2994</v>
      </c>
      <c r="H255" s="266" t="s">
        <v>3000</v>
      </c>
      <c r="I255" s="271" t="s">
        <v>2995</v>
      </c>
      <c r="J255" s="290" t="s">
        <v>2996</v>
      </c>
      <c r="K255" s="273" t="s">
        <v>2963</v>
      </c>
      <c r="L255" s="290" t="s">
        <v>2997</v>
      </c>
      <c r="M255" s="283">
        <v>43745</v>
      </c>
      <c r="N255" s="265"/>
      <c r="O255" s="265" t="s">
        <v>8</v>
      </c>
      <c r="P255" s="435">
        <v>0.08</v>
      </c>
      <c r="Q255" s="436">
        <f>R255/800</f>
        <v>569.85</v>
      </c>
      <c r="R255" s="269">
        <v>455880</v>
      </c>
      <c r="S255" s="269" t="s">
        <v>2998</v>
      </c>
      <c r="T255" s="374">
        <v>14291.82</v>
      </c>
      <c r="U255" s="349">
        <v>14291.82</v>
      </c>
      <c r="V255" s="349">
        <f t="shared" si="63"/>
        <v>14291.82</v>
      </c>
      <c r="W255" s="350">
        <v>3.1349999999999998</v>
      </c>
      <c r="X255" s="333">
        <f>U255/(P255*10000)</f>
        <v>17.864774999999998</v>
      </c>
      <c r="Y255" s="333">
        <f t="shared" si="62"/>
        <v>1190.9849999999999</v>
      </c>
      <c r="Z255" s="807"/>
      <c r="AA255" s="711">
        <v>7150</v>
      </c>
      <c r="AB255" s="340"/>
      <c r="AC255" s="406"/>
      <c r="AD255" s="459"/>
      <c r="AE255" s="778"/>
      <c r="AF255" s="463"/>
      <c r="AG255" s="459"/>
      <c r="AH255" s="503"/>
      <c r="AI255" s="340"/>
      <c r="AJ255" s="740"/>
      <c r="AK255" s="741"/>
      <c r="AL255" s="732"/>
      <c r="AM255" s="340">
        <f t="shared" si="55"/>
        <v>7150</v>
      </c>
      <c r="AN255" s="340">
        <f t="shared" si="56"/>
        <v>7150</v>
      </c>
      <c r="AO255" s="468"/>
      <c r="AP255" s="333">
        <f t="shared" si="57"/>
        <v>50.028617768765628</v>
      </c>
      <c r="AQ255" s="192">
        <v>3981.28</v>
      </c>
      <c r="AR255" s="416">
        <v>119.11227060308875</v>
      </c>
      <c r="AS255" s="140">
        <v>45560</v>
      </c>
      <c r="AT255" s="20" t="s">
        <v>2999</v>
      </c>
      <c r="AU255" s="52" t="s">
        <v>1634</v>
      </c>
      <c r="AV255" s="489"/>
    </row>
    <row r="256" spans="1:48" ht="281.25" x14ac:dyDescent="0.25">
      <c r="A256" s="8">
        <v>243</v>
      </c>
      <c r="B256" s="266">
        <v>154</v>
      </c>
      <c r="C256" s="108" t="s">
        <v>926</v>
      </c>
      <c r="D256" s="109" t="s">
        <v>927</v>
      </c>
      <c r="E256" s="115">
        <v>2797707477</v>
      </c>
      <c r="F256" s="110">
        <v>6510700000</v>
      </c>
      <c r="G256" s="115" t="s">
        <v>928</v>
      </c>
      <c r="H256" s="115" t="s">
        <v>929</v>
      </c>
      <c r="I256" s="111" t="s">
        <v>930</v>
      </c>
      <c r="J256" s="130" t="s">
        <v>931</v>
      </c>
      <c r="K256" s="127" t="s">
        <v>932</v>
      </c>
      <c r="L256" s="130" t="s">
        <v>933</v>
      </c>
      <c r="M256" s="112" t="s">
        <v>934</v>
      </c>
      <c r="N256" s="109"/>
      <c r="O256" s="109" t="s">
        <v>8</v>
      </c>
      <c r="P256" s="189">
        <v>0.17599999999999999</v>
      </c>
      <c r="Q256" s="190">
        <v>1026.73</v>
      </c>
      <c r="R256" s="107">
        <v>1807044.8</v>
      </c>
      <c r="S256" s="107" t="s">
        <v>935</v>
      </c>
      <c r="T256" s="369"/>
      <c r="U256" s="344">
        <f>R256*W256%</f>
        <v>2710.5672</v>
      </c>
      <c r="V256" s="345">
        <f t="shared" si="63"/>
        <v>2710.5672</v>
      </c>
      <c r="W256" s="345">
        <v>0.15</v>
      </c>
      <c r="X256" s="345">
        <f t="shared" ref="X256:X264" si="65">V256/(P256*10000)</f>
        <v>1.540095</v>
      </c>
      <c r="Y256" s="333">
        <f t="shared" si="62"/>
        <v>225.88059999999999</v>
      </c>
      <c r="Z256" s="807"/>
      <c r="AA256" s="711">
        <v>2700</v>
      </c>
      <c r="AB256" s="340"/>
      <c r="AC256" s="406"/>
      <c r="AE256" s="779"/>
      <c r="AF256" s="463"/>
      <c r="AG256" s="459"/>
      <c r="AH256" s="503"/>
      <c r="AI256" s="739"/>
      <c r="AJ256" s="740"/>
      <c r="AK256" s="741"/>
      <c r="AL256" s="732"/>
      <c r="AM256" s="340">
        <f t="shared" si="55"/>
        <v>2700</v>
      </c>
      <c r="AN256" s="340">
        <f t="shared" si="56"/>
        <v>2700</v>
      </c>
      <c r="AO256" s="468"/>
      <c r="AP256" s="333">
        <f t="shared" si="57"/>
        <v>99.610148016252836</v>
      </c>
      <c r="AQ256" s="192">
        <v>2710.57</v>
      </c>
      <c r="AR256" s="416">
        <v>100.00010329941276</v>
      </c>
      <c r="AS256" s="164" t="s">
        <v>2912</v>
      </c>
      <c r="AT256" s="18" t="s">
        <v>1795</v>
      </c>
      <c r="AU256" s="191" t="s">
        <v>1673</v>
      </c>
      <c r="AV256" s="489"/>
    </row>
    <row r="257" spans="1:48" ht="131.25" x14ac:dyDescent="0.25">
      <c r="A257" s="414">
        <v>244</v>
      </c>
      <c r="B257" s="512">
        <v>155</v>
      </c>
      <c r="C257" s="958" t="s">
        <v>936</v>
      </c>
      <c r="D257" s="959" t="s">
        <v>937</v>
      </c>
      <c r="E257" s="960">
        <v>2474718885</v>
      </c>
      <c r="F257" s="961">
        <v>6510700000</v>
      </c>
      <c r="G257" s="960" t="s">
        <v>938</v>
      </c>
      <c r="H257" s="962" t="s">
        <v>939</v>
      </c>
      <c r="I257" s="963"/>
      <c r="J257" s="964" t="s">
        <v>2670</v>
      </c>
      <c r="K257" s="964"/>
      <c r="L257" s="963" t="s">
        <v>940</v>
      </c>
      <c r="M257" s="965" t="s">
        <v>941</v>
      </c>
      <c r="N257" s="963" t="s">
        <v>942</v>
      </c>
      <c r="O257" s="966" t="s">
        <v>8</v>
      </c>
      <c r="P257" s="967">
        <v>6.4999999999999997E-3</v>
      </c>
      <c r="Q257" s="968">
        <f>R257/65</f>
        <v>1066.43</v>
      </c>
      <c r="R257" s="803">
        <v>69317.95</v>
      </c>
      <c r="S257" s="803" t="s">
        <v>943</v>
      </c>
      <c r="T257" s="969"/>
      <c r="U257" s="415">
        <f>R257*W257%</f>
        <v>6931.7950000000001</v>
      </c>
      <c r="V257" s="404">
        <f t="shared" si="63"/>
        <v>6931.7950000000001</v>
      </c>
      <c r="W257" s="415">
        <v>10</v>
      </c>
      <c r="X257" s="404">
        <f t="shared" si="65"/>
        <v>106.643</v>
      </c>
      <c r="Y257" s="404">
        <f t="shared" si="62"/>
        <v>577.64958333333334</v>
      </c>
      <c r="Z257" s="839"/>
      <c r="AA257" s="712">
        <v>577.65</v>
      </c>
      <c r="AB257" s="406"/>
      <c r="AC257" s="406">
        <v>577.65</v>
      </c>
      <c r="AD257" s="767"/>
      <c r="AE257" s="406"/>
      <c r="AF257" s="712"/>
      <c r="AG257" s="406"/>
      <c r="AH257" s="406"/>
      <c r="AI257" s="406"/>
      <c r="AJ257" s="791"/>
      <c r="AK257" s="712"/>
      <c r="AL257" s="738"/>
      <c r="AM257" s="406">
        <f t="shared" si="55"/>
        <v>1155.3</v>
      </c>
      <c r="AN257" s="406">
        <f t="shared" si="56"/>
        <v>1155.3</v>
      </c>
      <c r="AO257" s="468"/>
      <c r="AP257" s="404">
        <f t="shared" si="57"/>
        <v>16.666678688564794</v>
      </c>
      <c r="AQ257" s="192">
        <v>6931.7999999999984</v>
      </c>
      <c r="AR257" s="416">
        <v>100.00007213138875</v>
      </c>
      <c r="AS257" s="970">
        <v>43976</v>
      </c>
      <c r="AT257" s="971" t="s">
        <v>1796</v>
      </c>
      <c r="AU257" s="972" t="s">
        <v>1634</v>
      </c>
    </row>
    <row r="258" spans="1:48" ht="168.75" x14ac:dyDescent="0.25">
      <c r="A258" s="8">
        <v>245</v>
      </c>
      <c r="B258" s="9">
        <v>156</v>
      </c>
      <c r="C258" s="431" t="s">
        <v>944</v>
      </c>
      <c r="D258" s="288" t="s">
        <v>1943</v>
      </c>
      <c r="E258" s="303">
        <v>2688318334</v>
      </c>
      <c r="F258" s="432">
        <v>6510700000</v>
      </c>
      <c r="G258" s="303" t="s">
        <v>945</v>
      </c>
      <c r="H258" s="433" t="s">
        <v>2694</v>
      </c>
      <c r="I258" s="285" t="s">
        <v>1881</v>
      </c>
      <c r="J258" s="434" t="s">
        <v>1900</v>
      </c>
      <c r="K258" s="434" t="s">
        <v>1531</v>
      </c>
      <c r="L258" s="285" t="s">
        <v>946</v>
      </c>
      <c r="M258" s="311" t="s">
        <v>1532</v>
      </c>
      <c r="N258" s="285"/>
      <c r="O258" s="265" t="s">
        <v>8</v>
      </c>
      <c r="P258" s="435">
        <v>0.62170000000000003</v>
      </c>
      <c r="Q258" s="436">
        <v>400.52</v>
      </c>
      <c r="R258" s="269">
        <v>2490032.84</v>
      </c>
      <c r="S258" s="269" t="s">
        <v>947</v>
      </c>
      <c r="T258" s="374"/>
      <c r="U258" s="356">
        <v>26020.83</v>
      </c>
      <c r="V258" s="356">
        <f t="shared" si="63"/>
        <v>26020.83</v>
      </c>
      <c r="W258" s="356">
        <v>1.04</v>
      </c>
      <c r="X258" s="350">
        <f t="shared" si="65"/>
        <v>4.1854318803281325</v>
      </c>
      <c r="Y258" s="350">
        <f t="shared" si="62"/>
        <v>2168.4025000000001</v>
      </c>
      <c r="Z258" s="807"/>
      <c r="AA258" s="855">
        <v>2169</v>
      </c>
      <c r="AB258" s="358">
        <v>2169</v>
      </c>
      <c r="AC258" s="408">
        <v>2169</v>
      </c>
      <c r="AD258" s="486">
        <v>2169</v>
      </c>
      <c r="AE258" s="437"/>
      <c r="AF258" s="469"/>
      <c r="AG258" s="486"/>
      <c r="AH258" s="504"/>
      <c r="AI258" s="358"/>
      <c r="AJ258" s="780"/>
      <c r="AK258" s="475"/>
      <c r="AL258" s="766"/>
      <c r="AM258" s="340">
        <f t="shared" si="55"/>
        <v>8676</v>
      </c>
      <c r="AN258" s="340">
        <f t="shared" si="56"/>
        <v>8676</v>
      </c>
      <c r="AO258" s="468"/>
      <c r="AP258" s="350">
        <f t="shared" si="57"/>
        <v>33.342518282468312</v>
      </c>
      <c r="AQ258" s="690">
        <v>25118.07</v>
      </c>
      <c r="AR258" s="523">
        <v>100.02628281020586</v>
      </c>
      <c r="AS258" s="307" t="s">
        <v>2607</v>
      </c>
      <c r="AT258" s="125" t="s">
        <v>1901</v>
      </c>
      <c r="AU258" s="191" t="s">
        <v>1797</v>
      </c>
    </row>
    <row r="259" spans="1:48" ht="318.75" x14ac:dyDescent="0.25">
      <c r="A259" s="8">
        <v>246</v>
      </c>
      <c r="B259" s="266">
        <v>157</v>
      </c>
      <c r="C259" s="532" t="s">
        <v>948</v>
      </c>
      <c r="D259" s="52" t="s">
        <v>949</v>
      </c>
      <c r="E259" s="52" t="s">
        <v>1533</v>
      </c>
      <c r="F259" s="57">
        <v>6510700000</v>
      </c>
      <c r="G259" s="7" t="s">
        <v>950</v>
      </c>
      <c r="H259" s="71" t="s">
        <v>951</v>
      </c>
      <c r="I259" s="178" t="s">
        <v>952</v>
      </c>
      <c r="J259" s="49" t="s">
        <v>953</v>
      </c>
      <c r="K259" s="84" t="s">
        <v>954</v>
      </c>
      <c r="L259" s="24" t="s">
        <v>955</v>
      </c>
      <c r="M259" s="319" t="s">
        <v>1534</v>
      </c>
      <c r="N259" s="24"/>
      <c r="O259" s="24" t="s">
        <v>8</v>
      </c>
      <c r="P259" s="73">
        <v>0.17</v>
      </c>
      <c r="Q259" s="74">
        <v>396.72</v>
      </c>
      <c r="R259" s="49">
        <v>674424</v>
      </c>
      <c r="S259" s="49" t="s">
        <v>956</v>
      </c>
      <c r="T259" s="533"/>
      <c r="U259" s="534">
        <f>R259*W259%</f>
        <v>53953.919999999998</v>
      </c>
      <c r="V259" s="535">
        <f t="shared" si="63"/>
        <v>53953.919999999998</v>
      </c>
      <c r="W259" s="815">
        <v>8</v>
      </c>
      <c r="X259" s="535">
        <f t="shared" si="65"/>
        <v>31.737599999999993</v>
      </c>
      <c r="Y259" s="535">
        <f t="shared" si="62"/>
        <v>4496.16</v>
      </c>
      <c r="Z259" s="845"/>
      <c r="AA259" s="853">
        <v>16000</v>
      </c>
      <c r="AB259" s="536"/>
      <c r="AC259" s="781">
        <v>7155.65</v>
      </c>
      <c r="AD259" s="782">
        <v>2626.77</v>
      </c>
      <c r="AE259" s="537"/>
      <c r="AF259" s="538"/>
      <c r="AG259" s="782"/>
      <c r="AH259" s="783"/>
      <c r="AI259" s="536"/>
      <c r="AJ259" s="784"/>
      <c r="AK259" s="741"/>
      <c r="AL259" s="785"/>
      <c r="AM259" s="340">
        <f t="shared" si="55"/>
        <v>25782.420000000002</v>
      </c>
      <c r="AN259" s="340">
        <f t="shared" si="56"/>
        <v>25782.420000000002</v>
      </c>
      <c r="AO259" s="1217"/>
      <c r="AP259" s="535">
        <f t="shared" si="57"/>
        <v>47.78599960855486</v>
      </c>
      <c r="AQ259" s="698">
        <v>49085.33</v>
      </c>
      <c r="AR259" s="699">
        <v>80.867904397760995</v>
      </c>
      <c r="AS259" s="539">
        <v>43920</v>
      </c>
      <c r="AT259" s="173" t="s">
        <v>1798</v>
      </c>
      <c r="AU259" s="52" t="s">
        <v>1632</v>
      </c>
    </row>
    <row r="260" spans="1:48" ht="318.75" x14ac:dyDescent="0.25">
      <c r="A260" s="8">
        <v>247</v>
      </c>
      <c r="B260" s="303"/>
      <c r="C260" s="108" t="s">
        <v>3384</v>
      </c>
      <c r="D260" s="387" t="s">
        <v>949</v>
      </c>
      <c r="E260" s="109" t="s">
        <v>3385</v>
      </c>
      <c r="F260" s="115">
        <v>6510700000</v>
      </c>
      <c r="G260" s="115" t="s">
        <v>373</v>
      </c>
      <c r="H260" s="720" t="s">
        <v>372</v>
      </c>
      <c r="I260" s="113" t="s">
        <v>3313</v>
      </c>
      <c r="J260" s="724" t="s">
        <v>3386</v>
      </c>
      <c r="K260" s="113" t="s">
        <v>3387</v>
      </c>
      <c r="L260" s="112" t="s">
        <v>3388</v>
      </c>
      <c r="M260" s="112">
        <v>43852</v>
      </c>
      <c r="N260" s="112"/>
      <c r="O260" s="109" t="s">
        <v>8</v>
      </c>
      <c r="P260" s="122">
        <v>0.105</v>
      </c>
      <c r="Q260" s="123">
        <v>826.52</v>
      </c>
      <c r="R260" s="107">
        <v>867846</v>
      </c>
      <c r="S260" s="109" t="s">
        <v>2171</v>
      </c>
      <c r="T260" s="369"/>
      <c r="U260" s="814">
        <v>10739.36</v>
      </c>
      <c r="V260" s="814">
        <v>10739.36</v>
      </c>
      <c r="W260" s="814" t="s">
        <v>3450</v>
      </c>
      <c r="X260" s="345">
        <f t="shared" si="65"/>
        <v>10.227961904761905</v>
      </c>
      <c r="Y260" s="345">
        <f t="shared" si="62"/>
        <v>894.94666666666672</v>
      </c>
      <c r="Z260" s="807"/>
      <c r="AA260" s="852">
        <f>4000+4000</f>
        <v>8000</v>
      </c>
      <c r="AB260" s="359"/>
      <c r="AC260" s="407">
        <v>165.1</v>
      </c>
      <c r="AD260" s="483"/>
      <c r="AE260" s="422"/>
      <c r="AF260" s="462"/>
      <c r="AG260" s="483"/>
      <c r="AH260" s="502"/>
      <c r="AI260" s="359"/>
      <c r="AJ260" s="751"/>
      <c r="AK260" s="529"/>
      <c r="AL260" s="752"/>
      <c r="AM260" s="340">
        <f t="shared" si="55"/>
        <v>8165.1</v>
      </c>
      <c r="AN260" s="340">
        <f t="shared" si="56"/>
        <v>8165.1</v>
      </c>
      <c r="AO260" s="468"/>
      <c r="AP260" s="333">
        <f t="shared" si="57"/>
        <v>76.02967029692644</v>
      </c>
      <c r="AQ260" s="521" t="s">
        <v>1887</v>
      </c>
      <c r="AR260" s="523" t="s">
        <v>1887</v>
      </c>
      <c r="AS260" s="164">
        <v>44886</v>
      </c>
      <c r="AT260" s="387" t="s">
        <v>1715</v>
      </c>
      <c r="AU260" s="113" t="s">
        <v>1634</v>
      </c>
    </row>
    <row r="261" spans="1:48" ht="168.75" x14ac:dyDescent="0.25">
      <c r="A261" s="8">
        <v>250</v>
      </c>
      <c r="B261" s="540">
        <v>160</v>
      </c>
      <c r="C261" s="108" t="s">
        <v>963</v>
      </c>
      <c r="D261" s="109" t="s">
        <v>964</v>
      </c>
      <c r="E261" s="120">
        <v>2712423750</v>
      </c>
      <c r="F261" s="115">
        <v>6510700000</v>
      </c>
      <c r="G261" s="6" t="s">
        <v>965</v>
      </c>
      <c r="H261" s="109" t="s">
        <v>966</v>
      </c>
      <c r="I261" s="113" t="s">
        <v>967</v>
      </c>
      <c r="J261" s="144" t="s">
        <v>968</v>
      </c>
      <c r="K261" s="111" t="s">
        <v>560</v>
      </c>
      <c r="L261" s="117" t="s">
        <v>969</v>
      </c>
      <c r="M261" s="118" t="s">
        <v>1536</v>
      </c>
      <c r="N261" s="120"/>
      <c r="O261" s="120" t="s">
        <v>8</v>
      </c>
      <c r="P261" s="175">
        <v>4.1000000000000002E-2</v>
      </c>
      <c r="Q261" s="116">
        <v>470.11</v>
      </c>
      <c r="R261" s="107">
        <v>192745.1</v>
      </c>
      <c r="S261" s="107" t="s">
        <v>970</v>
      </c>
      <c r="T261" s="369"/>
      <c r="U261" s="349">
        <v>6302.73</v>
      </c>
      <c r="V261" s="350">
        <f t="shared" si="63"/>
        <v>6302.73</v>
      </c>
      <c r="W261" s="350">
        <v>3.27</v>
      </c>
      <c r="X261" s="333">
        <f t="shared" si="65"/>
        <v>15.372512195121951</v>
      </c>
      <c r="Y261" s="333">
        <f t="shared" si="62"/>
        <v>525.22749999999996</v>
      </c>
      <c r="Z261" s="807"/>
      <c r="AA261" s="711"/>
      <c r="AB261" s="340"/>
      <c r="AC261" s="406"/>
      <c r="AD261" s="459"/>
      <c r="AE261" s="421"/>
      <c r="AF261" s="463"/>
      <c r="AG261" s="459"/>
      <c r="AH261" s="503"/>
      <c r="AI261" s="340"/>
      <c r="AJ261" s="740"/>
      <c r="AK261" s="741"/>
      <c r="AL261" s="732"/>
      <c r="AM261" s="340">
        <f t="shared" si="55"/>
        <v>0</v>
      </c>
      <c r="AN261" s="340">
        <f t="shared" si="56"/>
        <v>0</v>
      </c>
      <c r="AO261" s="468"/>
      <c r="AP261" s="333">
        <f t="shared" si="57"/>
        <v>0</v>
      </c>
      <c r="AQ261" s="192">
        <v>5260</v>
      </c>
      <c r="AR261" s="416">
        <v>83.45589926904691</v>
      </c>
      <c r="AS261" s="164" t="s">
        <v>2523</v>
      </c>
      <c r="AT261" s="126" t="s">
        <v>1782</v>
      </c>
      <c r="AU261" s="174" t="s">
        <v>1634</v>
      </c>
    </row>
    <row r="262" spans="1:48" ht="112.5" x14ac:dyDescent="0.25">
      <c r="A262" s="8">
        <v>251</v>
      </c>
      <c r="B262" s="266">
        <v>161</v>
      </c>
      <c r="C262" s="98" t="s">
        <v>971</v>
      </c>
      <c r="D262" s="17" t="s">
        <v>972</v>
      </c>
      <c r="E262" s="35">
        <v>2445911170</v>
      </c>
      <c r="F262" s="19">
        <v>6510700000</v>
      </c>
      <c r="G262" s="19" t="s">
        <v>973</v>
      </c>
      <c r="H262" s="19" t="s">
        <v>974</v>
      </c>
      <c r="I262" s="38"/>
      <c r="J262" s="33" t="s">
        <v>2671</v>
      </c>
      <c r="K262" s="75"/>
      <c r="L262" s="17" t="s">
        <v>975</v>
      </c>
      <c r="M262" s="64" t="s">
        <v>1537</v>
      </c>
      <c r="N262" s="17"/>
      <c r="O262" s="17" t="s">
        <v>8</v>
      </c>
      <c r="P262" s="37">
        <v>4.0000000000000001E-3</v>
      </c>
      <c r="Q262" s="22">
        <v>853.15</v>
      </c>
      <c r="R262" s="12">
        <v>34126</v>
      </c>
      <c r="S262" s="12" t="s">
        <v>976</v>
      </c>
      <c r="T262" s="368"/>
      <c r="U262" s="343">
        <f>R262*W262%</f>
        <v>3753.86</v>
      </c>
      <c r="V262" s="343">
        <f t="shared" si="63"/>
        <v>3753.86</v>
      </c>
      <c r="W262" s="343">
        <v>11</v>
      </c>
      <c r="X262" s="333">
        <f t="shared" si="65"/>
        <v>93.846500000000006</v>
      </c>
      <c r="Y262" s="333">
        <f t="shared" si="62"/>
        <v>312.82166666666666</v>
      </c>
      <c r="Z262" s="807"/>
      <c r="AA262" s="711"/>
      <c r="AB262" s="340"/>
      <c r="AC262" s="406"/>
      <c r="AD262" s="459"/>
      <c r="AE262" s="421"/>
      <c r="AF262" s="463"/>
      <c r="AG262" s="459"/>
      <c r="AH262" s="503"/>
      <c r="AI262" s="340"/>
      <c r="AJ262" s="740"/>
      <c r="AK262" s="741"/>
      <c r="AL262" s="732"/>
      <c r="AM262" s="340">
        <f t="shared" si="55"/>
        <v>0</v>
      </c>
      <c r="AN262" s="340">
        <f t="shared" si="56"/>
        <v>0</v>
      </c>
      <c r="AO262" s="468"/>
      <c r="AP262" s="333">
        <f t="shared" si="57"/>
        <v>0</v>
      </c>
      <c r="AQ262" s="192">
        <v>1878</v>
      </c>
      <c r="AR262" s="416">
        <v>50.028503993222976</v>
      </c>
      <c r="AS262" s="255" t="s">
        <v>2556</v>
      </c>
      <c r="AT262" s="23" t="s">
        <v>1752</v>
      </c>
      <c r="AU262" s="38" t="s">
        <v>1634</v>
      </c>
      <c r="AV262" s="229"/>
    </row>
    <row r="263" spans="1:48" ht="150" x14ac:dyDescent="0.25">
      <c r="A263" s="8">
        <v>252</v>
      </c>
      <c r="B263" s="77">
        <v>162</v>
      </c>
      <c r="C263" s="624" t="s">
        <v>1939</v>
      </c>
      <c r="D263" s="625" t="s">
        <v>1940</v>
      </c>
      <c r="E263" s="626">
        <v>2209602357</v>
      </c>
      <c r="F263" s="627">
        <v>6510700000</v>
      </c>
      <c r="G263" s="627" t="s">
        <v>977</v>
      </c>
      <c r="H263" s="627" t="s">
        <v>978</v>
      </c>
      <c r="I263" s="628" t="s">
        <v>3251</v>
      </c>
      <c r="J263" s="629" t="s">
        <v>2832</v>
      </c>
      <c r="K263" s="424"/>
      <c r="L263" s="426" t="s">
        <v>2829</v>
      </c>
      <c r="M263" s="630" t="s">
        <v>2831</v>
      </c>
      <c r="N263" s="426"/>
      <c r="O263" s="139" t="s">
        <v>8</v>
      </c>
      <c r="P263" s="631">
        <v>8.3000000000000001E-3</v>
      </c>
      <c r="Q263" s="621">
        <v>2258.85</v>
      </c>
      <c r="R263" s="621">
        <v>187484.55</v>
      </c>
      <c r="S263" s="621" t="s">
        <v>3297</v>
      </c>
      <c r="T263" s="427"/>
      <c r="U263" s="632">
        <f>R263*W263%</f>
        <v>18748.454999999998</v>
      </c>
      <c r="V263" s="563">
        <f t="shared" si="63"/>
        <v>18748.454999999998</v>
      </c>
      <c r="W263" s="563">
        <v>10</v>
      </c>
      <c r="X263" s="334">
        <f t="shared" si="65"/>
        <v>225.88499999999999</v>
      </c>
      <c r="Y263" s="333">
        <f t="shared" si="62"/>
        <v>1562.3712499999999</v>
      </c>
      <c r="Z263" s="807"/>
      <c r="AA263" s="711">
        <v>1565</v>
      </c>
      <c r="AB263" s="711">
        <v>1562.37</v>
      </c>
      <c r="AC263" s="712"/>
      <c r="AD263" s="634">
        <v>1565</v>
      </c>
      <c r="AE263" s="633"/>
      <c r="AF263" s="463"/>
      <c r="AG263" s="634"/>
      <c r="AH263" s="635"/>
      <c r="AI263" s="711"/>
      <c r="AJ263" s="776"/>
      <c r="AK263" s="741"/>
      <c r="AL263" s="731"/>
      <c r="AM263" s="340">
        <f t="shared" si="55"/>
        <v>4692.37</v>
      </c>
      <c r="AN263" s="340">
        <f t="shared" si="56"/>
        <v>4692.37</v>
      </c>
      <c r="AO263" s="468"/>
      <c r="AP263" s="334">
        <f t="shared" si="57"/>
        <v>25.028035643470357</v>
      </c>
      <c r="AQ263" s="700">
        <v>18749.889999999996</v>
      </c>
      <c r="AR263" s="701">
        <v>100.00765396401995</v>
      </c>
      <c r="AS263" s="636" t="s">
        <v>2618</v>
      </c>
      <c r="AT263" s="637" t="s">
        <v>1727</v>
      </c>
      <c r="AU263" s="424" t="s">
        <v>1634</v>
      </c>
      <c r="AV263" s="638"/>
    </row>
    <row r="264" spans="1:48" ht="187.5" x14ac:dyDescent="0.25">
      <c r="A264" s="8">
        <v>253</v>
      </c>
      <c r="B264" s="9">
        <v>163</v>
      </c>
      <c r="C264" s="277" t="s">
        <v>979</v>
      </c>
      <c r="D264" s="278" t="s">
        <v>980</v>
      </c>
      <c r="E264" s="266">
        <v>2842220174</v>
      </c>
      <c r="F264" s="270">
        <v>6510700000</v>
      </c>
      <c r="G264" s="270" t="s">
        <v>981</v>
      </c>
      <c r="H264" s="270" t="s">
        <v>982</v>
      </c>
      <c r="I264" s="271" t="s">
        <v>983</v>
      </c>
      <c r="J264" s="283" t="s">
        <v>3063</v>
      </c>
      <c r="K264" s="267" t="s">
        <v>1521</v>
      </c>
      <c r="L264" s="283" t="s">
        <v>984</v>
      </c>
      <c r="M264" s="283" t="s">
        <v>985</v>
      </c>
      <c r="N264" s="283"/>
      <c r="O264" s="265" t="s">
        <v>8</v>
      </c>
      <c r="P264" s="268">
        <v>0.1</v>
      </c>
      <c r="Q264" s="269">
        <v>1318.74</v>
      </c>
      <c r="R264" s="269">
        <v>1318740</v>
      </c>
      <c r="S264" s="269" t="s">
        <v>986</v>
      </c>
      <c r="T264" s="374"/>
      <c r="U264" s="349">
        <v>40749.06</v>
      </c>
      <c r="V264" s="350">
        <f t="shared" si="63"/>
        <v>40749.06</v>
      </c>
      <c r="W264" s="350">
        <v>3.09</v>
      </c>
      <c r="X264" s="333">
        <f t="shared" si="65"/>
        <v>40.74906</v>
      </c>
      <c r="Y264" s="333">
        <f t="shared" si="62"/>
        <v>3395.7549999999997</v>
      </c>
      <c r="Z264" s="807"/>
      <c r="AA264" s="711"/>
      <c r="AB264" s="340"/>
      <c r="AC264" s="406"/>
      <c r="AD264" s="459"/>
      <c r="AE264" s="421"/>
      <c r="AF264" s="463"/>
      <c r="AG264" s="459"/>
      <c r="AH264" s="503"/>
      <c r="AI264" s="340"/>
      <c r="AJ264" s="740"/>
      <c r="AK264" s="741"/>
      <c r="AL264" s="739"/>
      <c r="AM264" s="340">
        <f t="shared" si="55"/>
        <v>0</v>
      </c>
      <c r="AN264" s="340">
        <f t="shared" si="56"/>
        <v>0</v>
      </c>
      <c r="AO264" s="468"/>
      <c r="AP264" s="333">
        <f t="shared" si="57"/>
        <v>0</v>
      </c>
      <c r="AQ264" s="521">
        <v>40749.06</v>
      </c>
      <c r="AR264" s="416">
        <v>100</v>
      </c>
      <c r="AS264" s="164" t="s">
        <v>2572</v>
      </c>
      <c r="AT264" s="118" t="s">
        <v>1800</v>
      </c>
      <c r="AU264" s="113" t="s">
        <v>1634</v>
      </c>
    </row>
    <row r="265" spans="1:48" ht="187.5" x14ac:dyDescent="0.25">
      <c r="A265" s="8">
        <v>254</v>
      </c>
      <c r="B265" s="9">
        <v>164</v>
      </c>
      <c r="C265" s="277" t="s">
        <v>3059</v>
      </c>
      <c r="D265" s="278" t="s">
        <v>3060</v>
      </c>
      <c r="E265" s="266">
        <v>2259314397</v>
      </c>
      <c r="F265" s="270">
        <v>6510700000</v>
      </c>
      <c r="G265" s="270" t="s">
        <v>3061</v>
      </c>
      <c r="H265" s="270" t="s">
        <v>3062</v>
      </c>
      <c r="I265" s="271" t="s">
        <v>3013</v>
      </c>
      <c r="J265" s="283" t="s">
        <v>3065</v>
      </c>
      <c r="K265" s="267" t="s">
        <v>3066</v>
      </c>
      <c r="L265" s="283" t="s">
        <v>3064</v>
      </c>
      <c r="M265" s="283">
        <v>43759</v>
      </c>
      <c r="N265" s="283"/>
      <c r="O265" s="265" t="s">
        <v>8</v>
      </c>
      <c r="P265" s="268">
        <v>6.8699999999999997E-2</v>
      </c>
      <c r="Q265" s="269">
        <f>R265/687</f>
        <v>470.11</v>
      </c>
      <c r="R265" s="269">
        <v>322965.57</v>
      </c>
      <c r="S265" s="269" t="s">
        <v>3067</v>
      </c>
      <c r="T265" s="374">
        <v>11045.29</v>
      </c>
      <c r="U265" s="349">
        <v>11045.29</v>
      </c>
      <c r="V265" s="350">
        <f t="shared" si="63"/>
        <v>11045.29</v>
      </c>
      <c r="W265" s="350">
        <f>V265*100/R265</f>
        <v>3.4199589758128086</v>
      </c>
      <c r="X265" s="531">
        <f>U265/(P265*10000)</f>
        <v>16.077569141193596</v>
      </c>
      <c r="Y265" s="350">
        <f t="shared" si="62"/>
        <v>920.44083333333344</v>
      </c>
      <c r="Z265" s="808">
        <v>11045.29</v>
      </c>
      <c r="AA265" s="855"/>
      <c r="AB265" s="358"/>
      <c r="AC265" s="408"/>
      <c r="AD265" s="486"/>
      <c r="AE265" s="437"/>
      <c r="AF265" s="469"/>
      <c r="AG265" s="486"/>
      <c r="AH265" s="504"/>
      <c r="AI265" s="358"/>
      <c r="AJ265" s="560"/>
      <c r="AK265" s="475"/>
      <c r="AL265" s="766"/>
      <c r="AM265" s="340">
        <f t="shared" si="55"/>
        <v>11045.29</v>
      </c>
      <c r="AN265" s="340">
        <f t="shared" si="56"/>
        <v>0</v>
      </c>
      <c r="AO265" s="468"/>
      <c r="AP265" s="350">
        <f t="shared" si="57"/>
        <v>99.999999999999986</v>
      </c>
      <c r="AQ265" s="690">
        <v>2167.4899999999998</v>
      </c>
      <c r="AR265" s="695">
        <v>100</v>
      </c>
      <c r="AS265" s="310">
        <v>45567</v>
      </c>
      <c r="AT265" s="314" t="s">
        <v>3068</v>
      </c>
      <c r="AU265" s="267" t="s">
        <v>3069</v>
      </c>
    </row>
    <row r="266" spans="1:48" ht="243.75" x14ac:dyDescent="0.25">
      <c r="A266" s="8">
        <v>255</v>
      </c>
      <c r="B266" s="266">
        <v>165</v>
      </c>
      <c r="C266" s="119" t="s">
        <v>2495</v>
      </c>
      <c r="D266" s="278" t="s">
        <v>2496</v>
      </c>
      <c r="E266" s="266">
        <v>2828224598</v>
      </c>
      <c r="F266" s="270">
        <v>6510700000</v>
      </c>
      <c r="G266" s="270" t="s">
        <v>2497</v>
      </c>
      <c r="H266" s="270" t="s">
        <v>2498</v>
      </c>
      <c r="I266" s="271" t="s">
        <v>2499</v>
      </c>
      <c r="J266" s="283" t="s">
        <v>2500</v>
      </c>
      <c r="K266" s="267" t="s">
        <v>2443</v>
      </c>
      <c r="L266" s="283" t="s">
        <v>2501</v>
      </c>
      <c r="M266" s="283">
        <v>43642</v>
      </c>
      <c r="N266" s="283"/>
      <c r="O266" s="265" t="s">
        <v>8</v>
      </c>
      <c r="P266" s="268">
        <v>3.5000000000000003E-2</v>
      </c>
      <c r="Q266" s="269">
        <f>R266/350</f>
        <v>535.33214285714291</v>
      </c>
      <c r="R266" s="269">
        <v>187366.25</v>
      </c>
      <c r="S266" s="269" t="s">
        <v>2502</v>
      </c>
      <c r="T266" s="374">
        <v>7054.61</v>
      </c>
      <c r="U266" s="349">
        <v>7054.61</v>
      </c>
      <c r="V266" s="350">
        <f t="shared" si="63"/>
        <v>7054.61</v>
      </c>
      <c r="W266" s="582">
        <v>3.7650000000000001</v>
      </c>
      <c r="X266" s="705">
        <f>U266/(P266*10000)</f>
        <v>20.156028571428568</v>
      </c>
      <c r="Y266" s="582">
        <f t="shared" si="62"/>
        <v>587.8841666666666</v>
      </c>
      <c r="Z266" s="807">
        <v>7054.61</v>
      </c>
      <c r="AA266" s="711">
        <f>1015+901</f>
        <v>1916</v>
      </c>
      <c r="AB266" s="340"/>
      <c r="AC266" s="406"/>
      <c r="AD266" s="459"/>
      <c r="AE266" s="421"/>
      <c r="AF266" s="463"/>
      <c r="AG266" s="459"/>
      <c r="AH266" s="503"/>
      <c r="AI266" s="340"/>
      <c r="AJ266" s="740"/>
      <c r="AK266" s="741"/>
      <c r="AL266" s="732"/>
      <c r="AM266" s="340">
        <f t="shared" si="55"/>
        <v>8970.61</v>
      </c>
      <c r="AN266" s="340">
        <f t="shared" si="56"/>
        <v>1916</v>
      </c>
      <c r="AO266" s="468"/>
      <c r="AP266" s="333">
        <f t="shared" si="57"/>
        <v>127.15954531859309</v>
      </c>
      <c r="AQ266" s="521">
        <v>6089.75</v>
      </c>
      <c r="AR266" s="523">
        <v>167.98105515190633</v>
      </c>
      <c r="AS266" s="164">
        <v>45443</v>
      </c>
      <c r="AT266" s="118" t="s">
        <v>1759</v>
      </c>
      <c r="AU266" s="113" t="s">
        <v>1713</v>
      </c>
      <c r="AV266" s="312" t="s">
        <v>3070</v>
      </c>
    </row>
    <row r="267" spans="1:48" ht="168.75" x14ac:dyDescent="0.25">
      <c r="A267" s="8">
        <v>256</v>
      </c>
      <c r="B267" s="9">
        <v>166</v>
      </c>
      <c r="C267" s="96" t="s">
        <v>2904</v>
      </c>
      <c r="D267" s="10"/>
      <c r="E267" s="9">
        <v>2057902775</v>
      </c>
      <c r="F267" s="19">
        <v>6510700000</v>
      </c>
      <c r="G267" s="19" t="s">
        <v>30</v>
      </c>
      <c r="H267" s="19" t="s">
        <v>987</v>
      </c>
      <c r="I267" s="75"/>
      <c r="J267" s="10" t="s">
        <v>988</v>
      </c>
      <c r="K267" s="13"/>
      <c r="L267" s="10">
        <v>40473200001</v>
      </c>
      <c r="M267" s="65">
        <v>38007</v>
      </c>
      <c r="N267" s="10"/>
      <c r="O267" s="10" t="s">
        <v>8</v>
      </c>
      <c r="P267" s="27">
        <v>5.7000000000000002E-2</v>
      </c>
      <c r="Q267" s="12"/>
      <c r="R267" s="12">
        <v>0</v>
      </c>
      <c r="S267" s="12"/>
      <c r="T267" s="368"/>
      <c r="U267" s="336">
        <f>R267*W267%</f>
        <v>0</v>
      </c>
      <c r="V267" s="333">
        <f t="shared" si="63"/>
        <v>0</v>
      </c>
      <c r="W267" s="332">
        <v>0.1</v>
      </c>
      <c r="X267" s="333">
        <f>V267/(P267*10000)</f>
        <v>0</v>
      </c>
      <c r="Y267" s="333">
        <f t="shared" si="62"/>
        <v>0</v>
      </c>
      <c r="Z267" s="807"/>
      <c r="AA267" s="711"/>
      <c r="AB267" s="340"/>
      <c r="AC267" s="406"/>
      <c r="AD267" s="459"/>
      <c r="AE267" s="421"/>
      <c r="AF267" s="463"/>
      <c r="AG267" s="459"/>
      <c r="AH267" s="503"/>
      <c r="AI267" s="340"/>
      <c r="AJ267" s="740"/>
      <c r="AK267" s="741"/>
      <c r="AL267" s="732"/>
      <c r="AM267" s="340">
        <f t="shared" si="55"/>
        <v>0</v>
      </c>
      <c r="AN267" s="340">
        <f t="shared" si="56"/>
        <v>0</v>
      </c>
      <c r="AO267" s="468"/>
      <c r="AP267" s="333" t="e">
        <f t="shared" si="57"/>
        <v>#DIV/0!</v>
      </c>
      <c r="AQ267" s="192">
        <v>0</v>
      </c>
      <c r="AR267" s="416" t="e">
        <v>#DIV/0!</v>
      </c>
      <c r="AS267" s="140">
        <v>56360</v>
      </c>
      <c r="AT267" s="11" t="s">
        <v>1774</v>
      </c>
      <c r="AU267" s="13"/>
    </row>
    <row r="268" spans="1:48" ht="356.25" x14ac:dyDescent="0.25">
      <c r="A268" s="8">
        <v>257</v>
      </c>
      <c r="B268" s="9">
        <v>167</v>
      </c>
      <c r="C268" s="108" t="s">
        <v>3182</v>
      </c>
      <c r="D268" s="146" t="s">
        <v>3185</v>
      </c>
      <c r="E268" s="115">
        <v>2378501836</v>
      </c>
      <c r="F268" s="110">
        <v>6510700000</v>
      </c>
      <c r="G268" s="110" t="s">
        <v>989</v>
      </c>
      <c r="H268" s="110" t="s">
        <v>990</v>
      </c>
      <c r="I268" s="111" t="s">
        <v>3184</v>
      </c>
      <c r="J268" s="109" t="s">
        <v>2851</v>
      </c>
      <c r="K268" s="113"/>
      <c r="L268" s="109" t="s">
        <v>2850</v>
      </c>
      <c r="M268" s="112">
        <v>42278</v>
      </c>
      <c r="N268" s="109" t="s">
        <v>3216</v>
      </c>
      <c r="O268" s="109" t="s">
        <v>8</v>
      </c>
      <c r="P268" s="122">
        <v>1.2070000000000001</v>
      </c>
      <c r="Q268" s="123">
        <v>138.97</v>
      </c>
      <c r="R268" s="107">
        <v>1677367.9</v>
      </c>
      <c r="S268" s="107" t="s">
        <v>3183</v>
      </c>
      <c r="T268" s="522"/>
      <c r="U268" s="344">
        <f>R268*W268%</f>
        <v>16773.679</v>
      </c>
      <c r="V268" s="344">
        <f t="shared" si="63"/>
        <v>16773.679</v>
      </c>
      <c r="W268" s="344">
        <v>1</v>
      </c>
      <c r="X268" s="344">
        <f>V268/(P268*10000)</f>
        <v>1.3896999999999999</v>
      </c>
      <c r="Y268" s="344">
        <f t="shared" si="62"/>
        <v>1397.8065833333333</v>
      </c>
      <c r="Z268" s="840"/>
      <c r="AA268" s="529"/>
      <c r="AB268" s="364"/>
      <c r="AC268" s="407"/>
      <c r="AD268" s="483"/>
      <c r="AE268" s="364"/>
      <c r="AF268" s="529"/>
      <c r="AG268" s="364"/>
      <c r="AH268" s="364"/>
      <c r="AI268" s="364"/>
      <c r="AJ268" s="751"/>
      <c r="AK268" s="529"/>
      <c r="AL268" s="756"/>
      <c r="AM268" s="340">
        <f t="shared" ref="AM268:AM329" si="66">SUM(Z268:AK268)</f>
        <v>0</v>
      </c>
      <c r="AN268" s="340">
        <f t="shared" ref="AN268:AN329" si="67">SUM(AA268:AL268)</f>
        <v>0</v>
      </c>
      <c r="AO268" s="468"/>
      <c r="AP268" s="344">
        <f t="shared" si="57"/>
        <v>0</v>
      </c>
      <c r="AQ268" s="521">
        <v>118822.09999999998</v>
      </c>
      <c r="AR268" s="523">
        <v>90.666733611239778</v>
      </c>
      <c r="AS268" s="164">
        <v>44000</v>
      </c>
      <c r="AT268" s="126" t="s">
        <v>1801</v>
      </c>
      <c r="AU268" s="113" t="s">
        <v>1639</v>
      </c>
    </row>
    <row r="269" spans="1:48" ht="150" x14ac:dyDescent="0.25">
      <c r="A269" s="8">
        <v>258</v>
      </c>
      <c r="B269" s="115">
        <v>168</v>
      </c>
      <c r="C269" s="96" t="s">
        <v>2801</v>
      </c>
      <c r="D269" s="51" t="s">
        <v>991</v>
      </c>
      <c r="E269" s="9">
        <v>3033418729</v>
      </c>
      <c r="F269" s="19">
        <v>6510700001</v>
      </c>
      <c r="G269" s="19" t="s">
        <v>992</v>
      </c>
      <c r="H269" s="19" t="s">
        <v>993</v>
      </c>
      <c r="I269" s="75" t="s">
        <v>994</v>
      </c>
      <c r="J269" s="10" t="s">
        <v>995</v>
      </c>
      <c r="K269" s="13" t="s">
        <v>1538</v>
      </c>
      <c r="L269" s="10" t="s">
        <v>996</v>
      </c>
      <c r="M269" s="60" t="s">
        <v>1539</v>
      </c>
      <c r="N269" s="10"/>
      <c r="O269" s="10" t="s">
        <v>8</v>
      </c>
      <c r="P269" s="21">
        <v>2.8E-3</v>
      </c>
      <c r="Q269" s="32">
        <v>903.52</v>
      </c>
      <c r="R269" s="12">
        <v>25298.559999999998</v>
      </c>
      <c r="S269" s="12" t="s">
        <v>997</v>
      </c>
      <c r="T269" s="368"/>
      <c r="U269" s="336">
        <f>R269*W269%</f>
        <v>3035.8271999999997</v>
      </c>
      <c r="V269" s="332">
        <f t="shared" si="63"/>
        <v>3035.8271999999997</v>
      </c>
      <c r="W269" s="332">
        <v>12</v>
      </c>
      <c r="X269" s="333">
        <f>V269/(P269*10000)</f>
        <v>108.4224</v>
      </c>
      <c r="Y269" s="333">
        <f t="shared" si="62"/>
        <v>252.98559999999998</v>
      </c>
      <c r="Z269" s="807"/>
      <c r="AA269" s="711"/>
      <c r="AB269" s="340"/>
      <c r="AC269" s="406"/>
      <c r="AD269" s="459"/>
      <c r="AE269" s="421"/>
      <c r="AF269" s="463"/>
      <c r="AG269" s="459"/>
      <c r="AH269" s="503"/>
      <c r="AI269" s="340"/>
      <c r="AJ269" s="740"/>
      <c r="AK269" s="741"/>
      <c r="AL269" s="732"/>
      <c r="AM269" s="340">
        <f t="shared" si="66"/>
        <v>0</v>
      </c>
      <c r="AN269" s="340">
        <f t="shared" si="67"/>
        <v>0</v>
      </c>
      <c r="AO269" s="468"/>
      <c r="AP269" s="333">
        <f t="shared" si="57"/>
        <v>0</v>
      </c>
      <c r="AQ269" s="192">
        <v>0</v>
      </c>
      <c r="AR269" s="416">
        <v>0</v>
      </c>
      <c r="AS269" s="140" t="s">
        <v>2576</v>
      </c>
      <c r="AT269" s="60" t="s">
        <v>1769</v>
      </c>
      <c r="AU269" s="13" t="s">
        <v>1802</v>
      </c>
    </row>
    <row r="270" spans="1:48" ht="168.75" x14ac:dyDescent="0.25">
      <c r="A270" s="8">
        <v>259</v>
      </c>
      <c r="B270" s="9">
        <v>169</v>
      </c>
      <c r="C270" s="96" t="s">
        <v>2800</v>
      </c>
      <c r="D270" s="10" t="s">
        <v>998</v>
      </c>
      <c r="E270" s="9">
        <v>2714808837</v>
      </c>
      <c r="F270" s="19">
        <v>6510700000</v>
      </c>
      <c r="G270" s="19" t="s">
        <v>2866</v>
      </c>
      <c r="H270" s="19" t="s">
        <v>998</v>
      </c>
      <c r="I270" s="62"/>
      <c r="J270" s="10" t="s">
        <v>999</v>
      </c>
      <c r="K270" s="13" t="s">
        <v>2865</v>
      </c>
      <c r="L270" s="10">
        <v>40473200003</v>
      </c>
      <c r="M270" s="60" t="s">
        <v>1000</v>
      </c>
      <c r="N270" s="10"/>
      <c r="O270" s="10" t="s">
        <v>8</v>
      </c>
      <c r="P270" s="27">
        <v>5.4699999999999999E-2</v>
      </c>
      <c r="Q270" s="12">
        <f>R270/547</f>
        <v>262.95999999999998</v>
      </c>
      <c r="R270" s="12">
        <v>143839.12</v>
      </c>
      <c r="S270" s="9">
        <v>2018</v>
      </c>
      <c r="T270" s="368"/>
      <c r="U270" s="336">
        <f>R270*W270%</f>
        <v>143.83912000000001</v>
      </c>
      <c r="V270" s="332">
        <f t="shared" si="63"/>
        <v>143.83912000000001</v>
      </c>
      <c r="W270" s="332">
        <v>0.1</v>
      </c>
      <c r="X270" s="333">
        <f>V270/(P270*10000)</f>
        <v>0.26296000000000003</v>
      </c>
      <c r="Y270" s="333">
        <f t="shared" si="62"/>
        <v>11.986593333333333</v>
      </c>
      <c r="Z270" s="807"/>
      <c r="AA270" s="711"/>
      <c r="AB270" s="340"/>
      <c r="AC270" s="406"/>
      <c r="AD270" s="459"/>
      <c r="AE270" s="421"/>
      <c r="AF270" s="463"/>
      <c r="AG270" s="459"/>
      <c r="AH270" s="503"/>
      <c r="AI270" s="340"/>
      <c r="AJ270" s="740"/>
      <c r="AK270" s="741"/>
      <c r="AL270" s="732"/>
      <c r="AM270" s="340">
        <f t="shared" si="66"/>
        <v>0</v>
      </c>
      <c r="AN270" s="340">
        <f t="shared" si="67"/>
        <v>0</v>
      </c>
      <c r="AO270" s="468"/>
      <c r="AP270" s="333">
        <f t="shared" si="57"/>
        <v>0</v>
      </c>
      <c r="AQ270" s="192">
        <v>719.2</v>
      </c>
      <c r="AR270" s="416">
        <v>500.00305897310824</v>
      </c>
      <c r="AS270" s="140">
        <v>56270</v>
      </c>
      <c r="AT270" s="11" t="s">
        <v>1774</v>
      </c>
      <c r="AU270" s="13" t="s">
        <v>1824</v>
      </c>
    </row>
    <row r="271" spans="1:48" ht="168.75" x14ac:dyDescent="0.25">
      <c r="A271" s="8">
        <v>260</v>
      </c>
      <c r="B271" s="9">
        <v>170</v>
      </c>
      <c r="C271" s="264" t="s">
        <v>2774</v>
      </c>
      <c r="D271" s="265" t="s">
        <v>1001</v>
      </c>
      <c r="E271" s="266" t="s">
        <v>1540</v>
      </c>
      <c r="F271" s="270">
        <v>6510700000</v>
      </c>
      <c r="G271" s="270" t="s">
        <v>1002</v>
      </c>
      <c r="H271" s="270" t="s">
        <v>1003</v>
      </c>
      <c r="I271" s="267" t="s">
        <v>1004</v>
      </c>
      <c r="J271" s="265" t="s">
        <v>1541</v>
      </c>
      <c r="K271" s="267" t="s">
        <v>1005</v>
      </c>
      <c r="L271" s="265" t="s">
        <v>1006</v>
      </c>
      <c r="M271" s="283" t="s">
        <v>1007</v>
      </c>
      <c r="N271" s="265"/>
      <c r="O271" s="265" t="s">
        <v>8</v>
      </c>
      <c r="P271" s="268">
        <v>1.06E-2</v>
      </c>
      <c r="Q271" s="269">
        <v>2383.73</v>
      </c>
      <c r="R271" s="269">
        <v>252675.38</v>
      </c>
      <c r="S271" s="266" t="s">
        <v>3425</v>
      </c>
      <c r="T271" s="374"/>
      <c r="U271" s="349">
        <v>16070.12</v>
      </c>
      <c r="V271" s="350">
        <f t="shared" si="63"/>
        <v>16070.12</v>
      </c>
      <c r="W271" s="350">
        <v>6.36</v>
      </c>
      <c r="X271" s="333">
        <f>V271/(P271*10000)</f>
        <v>151.60490566037737</v>
      </c>
      <c r="Y271" s="333">
        <f t="shared" si="62"/>
        <v>1339.1766666666667</v>
      </c>
      <c r="Z271" s="807"/>
      <c r="AA271" s="711"/>
      <c r="AB271" s="340"/>
      <c r="AC271" s="406"/>
      <c r="AD271" s="459"/>
      <c r="AE271" s="421"/>
      <c r="AF271" s="463"/>
      <c r="AG271" s="459"/>
      <c r="AH271" s="503"/>
      <c r="AI271" s="340"/>
      <c r="AJ271" s="740"/>
      <c r="AK271" s="741"/>
      <c r="AL271" s="732"/>
      <c r="AM271" s="340">
        <f t="shared" si="66"/>
        <v>0</v>
      </c>
      <c r="AN271" s="340">
        <f t="shared" si="67"/>
        <v>0</v>
      </c>
      <c r="AO271" s="468"/>
      <c r="AP271" s="333">
        <f t="shared" si="57"/>
        <v>0</v>
      </c>
      <c r="AQ271" s="192">
        <v>18200</v>
      </c>
      <c r="AR271" s="416">
        <v>113.25366580958946</v>
      </c>
      <c r="AS271" s="140" t="s">
        <v>2913</v>
      </c>
      <c r="AT271" s="31" t="s">
        <v>1803</v>
      </c>
      <c r="AU271" s="13" t="s">
        <v>1713</v>
      </c>
    </row>
    <row r="272" spans="1:48" ht="243.75" x14ac:dyDescent="0.25">
      <c r="A272" s="8">
        <v>261</v>
      </c>
      <c r="B272" s="266">
        <v>171</v>
      </c>
      <c r="C272" s="108" t="s">
        <v>2620</v>
      </c>
      <c r="D272" s="109" t="s">
        <v>2621</v>
      </c>
      <c r="E272" s="115">
        <v>2504421916</v>
      </c>
      <c r="F272" s="110">
        <v>6510700000</v>
      </c>
      <c r="G272" s="110" t="s">
        <v>2622</v>
      </c>
      <c r="H272" s="110" t="s">
        <v>2623</v>
      </c>
      <c r="I272" s="113" t="s">
        <v>2624</v>
      </c>
      <c r="J272" s="474" t="s">
        <v>2626</v>
      </c>
      <c r="K272" s="113" t="s">
        <v>2443</v>
      </c>
      <c r="L272" s="109" t="s">
        <v>2625</v>
      </c>
      <c r="M272" s="112">
        <v>43671</v>
      </c>
      <c r="N272" s="109"/>
      <c r="O272" s="109" t="s">
        <v>8</v>
      </c>
      <c r="P272" s="114">
        <v>0.03</v>
      </c>
      <c r="Q272" s="107">
        <f>R272/300</f>
        <v>650.27</v>
      </c>
      <c r="R272" s="107">
        <v>195081</v>
      </c>
      <c r="S272" s="115" t="s">
        <v>2627</v>
      </c>
      <c r="T272" s="369">
        <v>7022.83</v>
      </c>
      <c r="U272" s="344">
        <v>7022.83</v>
      </c>
      <c r="V272" s="345">
        <f t="shared" si="63"/>
        <v>7022.83</v>
      </c>
      <c r="W272" s="345">
        <v>3.6</v>
      </c>
      <c r="X272" s="345">
        <f>U272/(P272*10000)</f>
        <v>23.409433333333332</v>
      </c>
      <c r="Y272" s="345">
        <f t="shared" si="62"/>
        <v>585.23583333333329</v>
      </c>
      <c r="Z272" s="807"/>
      <c r="AA272" s="852"/>
      <c r="AB272" s="359"/>
      <c r="AC272" s="407"/>
      <c r="AD272" s="483"/>
      <c r="AE272" s="786"/>
      <c r="AF272" s="462"/>
      <c r="AG272" s="483"/>
      <c r="AH272" s="502"/>
      <c r="AI272" s="359"/>
      <c r="AJ272" s="751"/>
      <c r="AK272" s="529"/>
      <c r="AL272" s="752"/>
      <c r="AM272" s="340">
        <f t="shared" si="66"/>
        <v>0</v>
      </c>
      <c r="AN272" s="340">
        <f t="shared" si="67"/>
        <v>0</v>
      </c>
      <c r="AO272" s="468"/>
      <c r="AP272" s="345">
        <f t="shared" si="57"/>
        <v>0</v>
      </c>
      <c r="AQ272" s="521">
        <v>2292.62</v>
      </c>
      <c r="AR272" s="523">
        <v>74.962643255350116</v>
      </c>
      <c r="AS272" s="164">
        <v>45443</v>
      </c>
      <c r="AT272" s="128" t="s">
        <v>1759</v>
      </c>
      <c r="AU272" s="113" t="s">
        <v>1634</v>
      </c>
    </row>
    <row r="273" spans="1:48" ht="150" x14ac:dyDescent="0.3">
      <c r="A273" s="8">
        <v>262</v>
      </c>
      <c r="B273" s="115">
        <v>172</v>
      </c>
      <c r="C273" s="108" t="s">
        <v>2281</v>
      </c>
      <c r="D273" s="109" t="s">
        <v>2282</v>
      </c>
      <c r="E273" s="109">
        <v>2227219926</v>
      </c>
      <c r="F273" s="110">
        <v>6510700000</v>
      </c>
      <c r="G273" s="110" t="s">
        <v>2283</v>
      </c>
      <c r="H273" s="110" t="s">
        <v>1008</v>
      </c>
      <c r="I273" s="113"/>
      <c r="J273" s="413" t="s">
        <v>2284</v>
      </c>
      <c r="K273" s="113"/>
      <c r="L273" s="109" t="s">
        <v>2285</v>
      </c>
      <c r="M273" s="112" t="s">
        <v>2286</v>
      </c>
      <c r="N273" s="109" t="s">
        <v>2287</v>
      </c>
      <c r="O273" s="109" t="s">
        <v>8</v>
      </c>
      <c r="P273" s="114">
        <v>3.2000000000000002E-3</v>
      </c>
      <c r="Q273" s="107">
        <f>R273/32</f>
        <v>931.19</v>
      </c>
      <c r="R273" s="107">
        <v>29798.080000000002</v>
      </c>
      <c r="S273" s="107" t="s">
        <v>2288</v>
      </c>
      <c r="T273" s="369"/>
      <c r="U273" s="344">
        <f>R273*W273%</f>
        <v>3277.7888000000003</v>
      </c>
      <c r="V273" s="345">
        <f t="shared" si="63"/>
        <v>3277.7888000000003</v>
      </c>
      <c r="W273" s="345">
        <v>11</v>
      </c>
      <c r="X273" s="345">
        <f t="shared" ref="X273:X279" si="68">V273/(P273*10000)</f>
        <v>102.43090000000001</v>
      </c>
      <c r="Y273" s="345">
        <f t="shared" si="62"/>
        <v>273.14906666666667</v>
      </c>
      <c r="Z273" s="807"/>
      <c r="AA273" s="852">
        <v>374.14</v>
      </c>
      <c r="AB273" s="359">
        <v>273.14</v>
      </c>
      <c r="AC273" s="407"/>
      <c r="AD273" s="483">
        <v>273.16000000000003</v>
      </c>
      <c r="AE273" s="422"/>
      <c r="AF273" s="462"/>
      <c r="AG273" s="483"/>
      <c r="AH273" s="502"/>
      <c r="AI273" s="359"/>
      <c r="AJ273" s="751"/>
      <c r="AK273" s="529"/>
      <c r="AL273" s="752"/>
      <c r="AM273" s="340">
        <f t="shared" si="66"/>
        <v>920.44</v>
      </c>
      <c r="AN273" s="340">
        <f t="shared" si="67"/>
        <v>920.44</v>
      </c>
      <c r="AO273" s="468"/>
      <c r="AP273" s="345">
        <f t="shared" si="57"/>
        <v>28.081125910247785</v>
      </c>
      <c r="AQ273" s="521">
        <v>2653.1200000000003</v>
      </c>
      <c r="AR273" s="523">
        <v>80.942371881922355</v>
      </c>
      <c r="AS273" s="454">
        <v>44398</v>
      </c>
      <c r="AT273" s="120" t="s">
        <v>1804</v>
      </c>
      <c r="AU273" s="113" t="s">
        <v>1634</v>
      </c>
    </row>
    <row r="274" spans="1:48" ht="112.5" x14ac:dyDescent="0.25">
      <c r="A274" s="8">
        <v>263</v>
      </c>
      <c r="B274" s="115">
        <v>173</v>
      </c>
      <c r="C274" s="97" t="s">
        <v>2802</v>
      </c>
      <c r="D274" s="10" t="s">
        <v>3421</v>
      </c>
      <c r="E274" s="9">
        <v>2655209751</v>
      </c>
      <c r="F274" s="19">
        <v>6510700000</v>
      </c>
      <c r="G274" s="19" t="s">
        <v>1009</v>
      </c>
      <c r="H274" s="19" t="s">
        <v>493</v>
      </c>
      <c r="I274" s="75"/>
      <c r="J274" s="28" t="s">
        <v>1010</v>
      </c>
      <c r="K274" s="72"/>
      <c r="L274" s="28"/>
      <c r="M274" s="61">
        <v>40220</v>
      </c>
      <c r="N274" s="28"/>
      <c r="O274" s="10" t="s">
        <v>8</v>
      </c>
      <c r="P274" s="27">
        <v>5.9999999999999995E-4</v>
      </c>
      <c r="Q274" s="12">
        <v>1907.01</v>
      </c>
      <c r="R274" s="12">
        <v>11442.059999999998</v>
      </c>
      <c r="S274" s="12"/>
      <c r="T274" s="368"/>
      <c r="U274" s="336">
        <f>R274*W274%</f>
        <v>1258.6265999999998</v>
      </c>
      <c r="V274" s="333">
        <f t="shared" si="63"/>
        <v>1258.6265999999998</v>
      </c>
      <c r="W274" s="333">
        <v>11</v>
      </c>
      <c r="X274" s="333">
        <f t="shared" si="68"/>
        <v>209.77109999999999</v>
      </c>
      <c r="Y274" s="333">
        <f t="shared" si="62"/>
        <v>104.88554999999998</v>
      </c>
      <c r="Z274" s="839">
        <f>200+114</f>
        <v>314</v>
      </c>
      <c r="AA274" s="711">
        <v>114</v>
      </c>
      <c r="AB274" s="340">
        <v>114</v>
      </c>
      <c r="AC274" s="406">
        <v>114</v>
      </c>
      <c r="AD274" s="459"/>
      <c r="AE274" s="421"/>
      <c r="AF274" s="463"/>
      <c r="AG274" s="459"/>
      <c r="AH274" s="503"/>
      <c r="AI274" s="340"/>
      <c r="AJ274" s="740"/>
      <c r="AK274" s="741"/>
      <c r="AL274" s="732"/>
      <c r="AM274" s="340">
        <f t="shared" si="66"/>
        <v>656</v>
      </c>
      <c r="AN274" s="340">
        <f t="shared" si="67"/>
        <v>342</v>
      </c>
      <c r="AO274" s="468"/>
      <c r="AP274" s="333">
        <f t="shared" si="57"/>
        <v>52.120303193973498</v>
      </c>
      <c r="AQ274" s="192">
        <v>2422</v>
      </c>
      <c r="AR274" s="416">
        <v>192.43197307287167</v>
      </c>
      <c r="AS274" s="308">
        <v>41316</v>
      </c>
      <c r="AT274" s="11" t="s">
        <v>1805</v>
      </c>
      <c r="AU274" s="13" t="s">
        <v>1634</v>
      </c>
      <c r="AV274" s="1"/>
    </row>
    <row r="275" spans="1:48" ht="150" x14ac:dyDescent="0.25">
      <c r="A275" s="8">
        <v>264</v>
      </c>
      <c r="B275" s="115">
        <v>174</v>
      </c>
      <c r="C275" s="108" t="s">
        <v>2803</v>
      </c>
      <c r="D275" s="120" t="s">
        <v>3328</v>
      </c>
      <c r="E275" s="109">
        <v>2753809921</v>
      </c>
      <c r="F275" s="110">
        <v>6510700000</v>
      </c>
      <c r="G275" s="110" t="s">
        <v>1011</v>
      </c>
      <c r="H275" s="110" t="s">
        <v>3288</v>
      </c>
      <c r="I275" s="111" t="s">
        <v>2861</v>
      </c>
      <c r="J275" s="121" t="s">
        <v>2834</v>
      </c>
      <c r="K275" s="111" t="s">
        <v>2863</v>
      </c>
      <c r="L275" s="121" t="s">
        <v>2833</v>
      </c>
      <c r="M275" s="126" t="s">
        <v>1012</v>
      </c>
      <c r="N275" s="126">
        <v>43853</v>
      </c>
      <c r="O275" s="109" t="s">
        <v>8</v>
      </c>
      <c r="P275" s="114">
        <v>4.7999999999999996E-3</v>
      </c>
      <c r="Q275" s="107">
        <f>R275/48</f>
        <v>799.07999999999993</v>
      </c>
      <c r="R275" s="107">
        <v>38355.839999999997</v>
      </c>
      <c r="S275" s="107" t="s">
        <v>3329</v>
      </c>
      <c r="T275" s="369"/>
      <c r="U275" s="344">
        <f>R275*W275%</f>
        <v>3260.2464</v>
      </c>
      <c r="V275" s="344">
        <f t="shared" si="63"/>
        <v>3260.2464</v>
      </c>
      <c r="W275" s="344">
        <v>8.5</v>
      </c>
      <c r="X275" s="344">
        <f t="shared" si="68"/>
        <v>67.921800000000005</v>
      </c>
      <c r="Y275" s="345">
        <f t="shared" si="62"/>
        <v>271.68720000000002</v>
      </c>
      <c r="Z275" s="839">
        <v>654.67999999999995</v>
      </c>
      <c r="AA275" s="852">
        <v>271.44</v>
      </c>
      <c r="AB275" s="359">
        <v>271.44</v>
      </c>
      <c r="AC275" s="407"/>
      <c r="AD275" s="483"/>
      <c r="AE275" s="422"/>
      <c r="AF275" s="462"/>
      <c r="AG275" s="483"/>
      <c r="AH275" s="502"/>
      <c r="AI275" s="359"/>
      <c r="AJ275" s="751"/>
      <c r="AK275" s="529"/>
      <c r="AL275" s="752"/>
      <c r="AM275" s="340">
        <f t="shared" si="66"/>
        <v>1197.56</v>
      </c>
      <c r="AN275" s="340">
        <f t="shared" si="67"/>
        <v>542.88</v>
      </c>
      <c r="AO275" s="468"/>
      <c r="AP275" s="345">
        <f t="shared" si="57"/>
        <v>36.73219300234485</v>
      </c>
      <c r="AQ275" s="521">
        <v>4734.07</v>
      </c>
      <c r="AR275" s="523">
        <v>102.95467277687311</v>
      </c>
      <c r="AS275" s="164">
        <v>45826</v>
      </c>
      <c r="AT275" s="128" t="s">
        <v>3330</v>
      </c>
      <c r="AU275" s="113" t="s">
        <v>1634</v>
      </c>
    </row>
    <row r="276" spans="1:48" ht="150" x14ac:dyDescent="0.25">
      <c r="A276" s="8">
        <v>265</v>
      </c>
      <c r="B276" s="9">
        <v>175</v>
      </c>
      <c r="C276" s="119" t="s">
        <v>1958</v>
      </c>
      <c r="D276" s="109" t="s">
        <v>1959</v>
      </c>
      <c r="E276" s="109">
        <v>2473319419</v>
      </c>
      <c r="F276" s="110">
        <v>6510700000</v>
      </c>
      <c r="G276" s="110" t="s">
        <v>1013</v>
      </c>
      <c r="H276" s="110" t="s">
        <v>2383</v>
      </c>
      <c r="I276" s="111" t="s">
        <v>908</v>
      </c>
      <c r="J276" s="126" t="s">
        <v>1960</v>
      </c>
      <c r="K276" s="111" t="s">
        <v>1961</v>
      </c>
      <c r="L276" s="126" t="s">
        <v>1962</v>
      </c>
      <c r="M276" s="126">
        <v>42626</v>
      </c>
      <c r="N276" s="126" t="s">
        <v>2367</v>
      </c>
      <c r="O276" s="109" t="s">
        <v>8</v>
      </c>
      <c r="P276" s="114">
        <v>5.9999999999999995E-4</v>
      </c>
      <c r="Q276" s="107">
        <f>R276/6</f>
        <v>2043.2</v>
      </c>
      <c r="R276" s="107">
        <v>12259.2</v>
      </c>
      <c r="S276" s="107" t="s">
        <v>2368</v>
      </c>
      <c r="T276" s="369"/>
      <c r="U276" s="344">
        <f>R276*W276%</f>
        <v>1348.5120000000002</v>
      </c>
      <c r="V276" s="344">
        <f t="shared" si="63"/>
        <v>1348.5120000000002</v>
      </c>
      <c r="W276" s="344">
        <v>11</v>
      </c>
      <c r="X276" s="344">
        <f t="shared" si="68"/>
        <v>224.75200000000007</v>
      </c>
      <c r="Y276" s="344">
        <f t="shared" si="62"/>
        <v>112.37600000000002</v>
      </c>
      <c r="Z276" s="840"/>
      <c r="AA276" s="529"/>
      <c r="AB276" s="364"/>
      <c r="AC276" s="407"/>
      <c r="AD276" s="483"/>
      <c r="AE276" s="422"/>
      <c r="AF276" s="462"/>
      <c r="AG276" s="483"/>
      <c r="AH276" s="502"/>
      <c r="AI276" s="364"/>
      <c r="AJ276" s="751"/>
      <c r="AK276" s="529"/>
      <c r="AL276" s="756"/>
      <c r="AM276" s="340">
        <f t="shared" si="66"/>
        <v>0</v>
      </c>
      <c r="AN276" s="340">
        <f t="shared" si="67"/>
        <v>0</v>
      </c>
      <c r="AO276" s="468"/>
      <c r="AP276" s="344">
        <f t="shared" si="57"/>
        <v>0</v>
      </c>
      <c r="AQ276" s="521">
        <v>2232</v>
      </c>
      <c r="AR276" s="523">
        <v>165.51576849149282</v>
      </c>
      <c r="AS276" s="164" t="s">
        <v>2524</v>
      </c>
      <c r="AT276" s="120" t="s">
        <v>1804</v>
      </c>
      <c r="AU276" s="113" t="s">
        <v>1634</v>
      </c>
    </row>
    <row r="277" spans="1:48" ht="187.5" x14ac:dyDescent="0.25">
      <c r="A277" s="8">
        <v>266</v>
      </c>
      <c r="B277" s="115">
        <v>176</v>
      </c>
      <c r="C277" s="291" t="s">
        <v>2423</v>
      </c>
      <c r="D277" s="266" t="s">
        <v>1014</v>
      </c>
      <c r="E277" s="265">
        <v>2626416873</v>
      </c>
      <c r="F277" s="270">
        <v>6510700000</v>
      </c>
      <c r="G277" s="270" t="s">
        <v>1015</v>
      </c>
      <c r="H277" s="270" t="s">
        <v>1016</v>
      </c>
      <c r="I277" s="271" t="s">
        <v>2100</v>
      </c>
      <c r="J277" s="283" t="s">
        <v>1017</v>
      </c>
      <c r="K277" s="267" t="s">
        <v>1018</v>
      </c>
      <c r="L277" s="283" t="s">
        <v>1019</v>
      </c>
      <c r="M277" s="283" t="s">
        <v>1018</v>
      </c>
      <c r="N277" s="283"/>
      <c r="O277" s="265" t="s">
        <v>8</v>
      </c>
      <c r="P277" s="268">
        <v>5.3499999999999999E-2</v>
      </c>
      <c r="Q277" s="269">
        <v>2043.13</v>
      </c>
      <c r="R277" s="269">
        <v>1093074.55</v>
      </c>
      <c r="S277" s="266" t="s">
        <v>2104</v>
      </c>
      <c r="T277" s="374">
        <v>43824.39</v>
      </c>
      <c r="U277" s="349">
        <v>66568.37</v>
      </c>
      <c r="V277" s="350">
        <f t="shared" si="63"/>
        <v>66568.37</v>
      </c>
      <c r="W277" s="349">
        <f>U277*100/R277</f>
        <v>6.0900118843678133</v>
      </c>
      <c r="X277" s="333">
        <f t="shared" si="68"/>
        <v>124.42685981308411</v>
      </c>
      <c r="Y277" s="333">
        <f t="shared" si="62"/>
        <v>5547.3641666666663</v>
      </c>
      <c r="Z277" s="807"/>
      <c r="AA277" s="868">
        <v>6404.82</v>
      </c>
      <c r="AB277" s="340">
        <v>6404.82</v>
      </c>
      <c r="AC277" s="406"/>
      <c r="AD277" s="459">
        <f>3000+3404.82</f>
        <v>6404.82</v>
      </c>
      <c r="AE277" s="421"/>
      <c r="AF277" s="463"/>
      <c r="AG277" s="459"/>
      <c r="AH277" s="503"/>
      <c r="AI277" s="340"/>
      <c r="AJ277" s="740"/>
      <c r="AK277" s="741"/>
      <c r="AL277" s="732"/>
      <c r="AM277" s="340">
        <f t="shared" si="66"/>
        <v>19214.46</v>
      </c>
      <c r="AN277" s="340">
        <f t="shared" si="67"/>
        <v>19214.46</v>
      </c>
      <c r="AO277" s="468"/>
      <c r="AP277" s="333">
        <f t="shared" si="57"/>
        <v>28.864248891778484</v>
      </c>
      <c r="AQ277" s="192">
        <v>71002.679999999993</v>
      </c>
      <c r="AR277" s="416">
        <v>106.66128673422527</v>
      </c>
      <c r="AS277" s="140">
        <v>44127</v>
      </c>
      <c r="AT277" s="20" t="s">
        <v>2101</v>
      </c>
      <c r="AU277" s="13" t="s">
        <v>1806</v>
      </c>
    </row>
    <row r="278" spans="1:48" ht="150" x14ac:dyDescent="0.25">
      <c r="A278" s="8">
        <v>267</v>
      </c>
      <c r="B278" s="266">
        <v>177</v>
      </c>
      <c r="C278" s="165" t="s">
        <v>1020</v>
      </c>
      <c r="D278" s="115" t="s">
        <v>1021</v>
      </c>
      <c r="E278" s="109">
        <v>2335222837</v>
      </c>
      <c r="F278" s="110">
        <v>6510700000</v>
      </c>
      <c r="G278" s="110" t="s">
        <v>1022</v>
      </c>
      <c r="H278" s="115" t="s">
        <v>2382</v>
      </c>
      <c r="I278" s="111" t="s">
        <v>1023</v>
      </c>
      <c r="J278" s="112" t="s">
        <v>1024</v>
      </c>
      <c r="K278" s="113" t="s">
        <v>1542</v>
      </c>
      <c r="L278" s="112" t="s">
        <v>1025</v>
      </c>
      <c r="M278" s="112" t="s">
        <v>1543</v>
      </c>
      <c r="N278" s="112"/>
      <c r="O278" s="109" t="s">
        <v>8</v>
      </c>
      <c r="P278" s="114">
        <v>2.7000000000000001E-3</v>
      </c>
      <c r="Q278" s="107">
        <v>854.24</v>
      </c>
      <c r="R278" s="107">
        <v>23064.48</v>
      </c>
      <c r="S278" s="115" t="s">
        <v>1026</v>
      </c>
      <c r="T278" s="369"/>
      <c r="U278" s="336">
        <f>R278*W278%</f>
        <v>23.06448</v>
      </c>
      <c r="V278" s="333">
        <f t="shared" si="63"/>
        <v>23.06448</v>
      </c>
      <c r="W278" s="333">
        <v>0.1</v>
      </c>
      <c r="X278" s="333">
        <f t="shared" si="68"/>
        <v>0.85424</v>
      </c>
      <c r="Y278" s="333">
        <f t="shared" si="62"/>
        <v>1.92204</v>
      </c>
      <c r="Z278" s="807"/>
      <c r="AA278" s="711"/>
      <c r="AB278" s="340"/>
      <c r="AC278" s="406"/>
      <c r="AD278" s="459"/>
      <c r="AE278" s="421"/>
      <c r="AF278" s="463"/>
      <c r="AG278" s="459"/>
      <c r="AH278" s="503"/>
      <c r="AI278" s="340"/>
      <c r="AJ278" s="740"/>
      <c r="AK278" s="741"/>
      <c r="AL278" s="732"/>
      <c r="AM278" s="340">
        <f t="shared" si="66"/>
        <v>0</v>
      </c>
      <c r="AN278" s="340">
        <f t="shared" si="67"/>
        <v>0</v>
      </c>
      <c r="AO278" s="468"/>
      <c r="AP278" s="333">
        <f t="shared" si="57"/>
        <v>0</v>
      </c>
      <c r="AQ278" s="521">
        <v>30</v>
      </c>
      <c r="AR278" s="523">
        <v>130.07013381615369</v>
      </c>
      <c r="AS278" s="164" t="s">
        <v>2522</v>
      </c>
      <c r="AT278" s="112" t="s">
        <v>1807</v>
      </c>
      <c r="AU278" s="113" t="s">
        <v>1768</v>
      </c>
      <c r="AV278" s="229"/>
    </row>
    <row r="279" spans="1:48" ht="150" x14ac:dyDescent="0.25">
      <c r="A279" s="8">
        <v>268</v>
      </c>
      <c r="B279" s="115">
        <v>178</v>
      </c>
      <c r="C279" s="165" t="s">
        <v>2514</v>
      </c>
      <c r="D279" s="115" t="s">
        <v>2526</v>
      </c>
      <c r="E279" s="109">
        <v>2275422937</v>
      </c>
      <c r="F279" s="110">
        <v>6510700000</v>
      </c>
      <c r="G279" s="110" t="s">
        <v>1027</v>
      </c>
      <c r="H279" s="110" t="s">
        <v>1028</v>
      </c>
      <c r="I279" s="111" t="s">
        <v>2517</v>
      </c>
      <c r="J279" s="109" t="s">
        <v>2527</v>
      </c>
      <c r="K279" s="113" t="s">
        <v>2518</v>
      </c>
      <c r="L279" s="109" t="s">
        <v>2528</v>
      </c>
      <c r="M279" s="112">
        <v>42088</v>
      </c>
      <c r="N279" s="109" t="s">
        <v>3528</v>
      </c>
      <c r="O279" s="109" t="s">
        <v>8</v>
      </c>
      <c r="P279" s="114">
        <v>2.7000000000000001E-3</v>
      </c>
      <c r="Q279" s="107">
        <f>R279/P279/10000</f>
        <v>854.24</v>
      </c>
      <c r="R279" s="107">
        <v>23064.48</v>
      </c>
      <c r="S279" s="115" t="s">
        <v>2529</v>
      </c>
      <c r="T279" s="369"/>
      <c r="U279" s="344">
        <f>R279*W279%</f>
        <v>1383.8688</v>
      </c>
      <c r="V279" s="345">
        <f t="shared" si="63"/>
        <v>1383.8688</v>
      </c>
      <c r="W279" s="345">
        <v>6</v>
      </c>
      <c r="X279" s="345">
        <f t="shared" si="68"/>
        <v>51.254399999999997</v>
      </c>
      <c r="Y279" s="345">
        <f t="shared" si="62"/>
        <v>115.3224</v>
      </c>
      <c r="Z279" s="807"/>
      <c r="AA279" s="852"/>
      <c r="AB279" s="359"/>
      <c r="AC279" s="407"/>
      <c r="AD279" s="483"/>
      <c r="AE279" s="422"/>
      <c r="AF279" s="462"/>
      <c r="AG279" s="483"/>
      <c r="AH279" s="502"/>
      <c r="AI279" s="359"/>
      <c r="AJ279" s="751"/>
      <c r="AK279" s="529"/>
      <c r="AL279" s="752"/>
      <c r="AM279" s="340">
        <f t="shared" si="66"/>
        <v>0</v>
      </c>
      <c r="AN279" s="340">
        <f t="shared" si="67"/>
        <v>0</v>
      </c>
      <c r="AO279" s="468"/>
      <c r="AP279" s="345">
        <f t="shared" ref="AP279:AP342" si="69">AM279*100/V279</f>
        <v>0</v>
      </c>
      <c r="AQ279" s="521">
        <v>1107.77</v>
      </c>
      <c r="AR279" s="523">
        <v>80.048773409733641</v>
      </c>
      <c r="AS279" s="164" t="s">
        <v>3529</v>
      </c>
      <c r="AT279" s="112" t="s">
        <v>2525</v>
      </c>
      <c r="AU279" s="113" t="s">
        <v>1824</v>
      </c>
    </row>
    <row r="280" spans="1:48" ht="150" x14ac:dyDescent="0.25">
      <c r="A280" s="8">
        <v>269</v>
      </c>
      <c r="B280" s="115">
        <v>179</v>
      </c>
      <c r="C280" s="165" t="s">
        <v>2515</v>
      </c>
      <c r="D280" s="115" t="s">
        <v>2516</v>
      </c>
      <c r="E280" s="109">
        <v>2455101949</v>
      </c>
      <c r="F280" s="110">
        <v>6510700000</v>
      </c>
      <c r="G280" s="110" t="s">
        <v>1029</v>
      </c>
      <c r="H280" s="110" t="s">
        <v>1030</v>
      </c>
      <c r="I280" s="111" t="s">
        <v>2517</v>
      </c>
      <c r="J280" s="109" t="s">
        <v>2520</v>
      </c>
      <c r="K280" s="113" t="s">
        <v>2518</v>
      </c>
      <c r="L280" s="109" t="s">
        <v>2519</v>
      </c>
      <c r="M280" s="112">
        <v>42088</v>
      </c>
      <c r="N280" s="109" t="s">
        <v>3528</v>
      </c>
      <c r="O280" s="109" t="s">
        <v>8</v>
      </c>
      <c r="P280" s="114">
        <v>3.0000000000000001E-3</v>
      </c>
      <c r="Q280" s="107">
        <f>R280/P280/10000</f>
        <v>854.24</v>
      </c>
      <c r="R280" s="107">
        <v>25627.200000000001</v>
      </c>
      <c r="S280" s="115" t="s">
        <v>2521</v>
      </c>
      <c r="T280" s="369"/>
      <c r="U280" s="344">
        <f>R280*W280%</f>
        <v>1537.6320000000001</v>
      </c>
      <c r="V280" s="344">
        <f t="shared" si="63"/>
        <v>1537.6320000000001</v>
      </c>
      <c r="W280" s="344">
        <v>6</v>
      </c>
      <c r="X280" s="344">
        <f>U280/(P280*10000)</f>
        <v>51.254400000000004</v>
      </c>
      <c r="Y280" s="344">
        <f t="shared" si="62"/>
        <v>128.136</v>
      </c>
      <c r="Z280" s="840"/>
      <c r="AA280" s="529"/>
      <c r="AB280" s="364"/>
      <c r="AC280" s="407"/>
      <c r="AD280" s="483"/>
      <c r="AE280" s="364"/>
      <c r="AF280" s="529"/>
      <c r="AG280" s="483"/>
      <c r="AH280" s="502"/>
      <c r="AI280" s="364"/>
      <c r="AJ280" s="751"/>
      <c r="AK280" s="529"/>
      <c r="AL280" s="756"/>
      <c r="AM280" s="340">
        <f t="shared" si="66"/>
        <v>0</v>
      </c>
      <c r="AN280" s="340">
        <f t="shared" si="67"/>
        <v>0</v>
      </c>
      <c r="AO280" s="468"/>
      <c r="AP280" s="344">
        <f t="shared" si="69"/>
        <v>0</v>
      </c>
      <c r="AQ280" s="521">
        <v>1537.34</v>
      </c>
      <c r="AR280" s="523">
        <v>99.98100976046284</v>
      </c>
      <c r="AS280" s="164">
        <v>45638</v>
      </c>
      <c r="AT280" s="112" t="s">
        <v>2525</v>
      </c>
      <c r="AU280" s="113" t="s">
        <v>1824</v>
      </c>
      <c r="AV280" s="1"/>
    </row>
    <row r="281" spans="1:48" ht="131.25" x14ac:dyDescent="0.25">
      <c r="A281" s="8">
        <v>270</v>
      </c>
      <c r="B281" s="115">
        <v>180</v>
      </c>
      <c r="C281" s="291" t="s">
        <v>1031</v>
      </c>
      <c r="D281" s="266" t="s">
        <v>1032</v>
      </c>
      <c r="E281" s="265">
        <v>2772920461</v>
      </c>
      <c r="F281" s="270">
        <v>6510700000</v>
      </c>
      <c r="G281" s="270" t="s">
        <v>1033</v>
      </c>
      <c r="H281" s="270" t="s">
        <v>544</v>
      </c>
      <c r="I281" s="271" t="s">
        <v>1034</v>
      </c>
      <c r="J281" s="283" t="s">
        <v>1036</v>
      </c>
      <c r="K281" s="283">
        <v>43292</v>
      </c>
      <c r="L281" s="265" t="s">
        <v>2778</v>
      </c>
      <c r="M281" s="283" t="s">
        <v>564</v>
      </c>
      <c r="N281" s="265"/>
      <c r="O281" s="265" t="s">
        <v>8</v>
      </c>
      <c r="P281" s="268">
        <v>6.5600000000000006E-2</v>
      </c>
      <c r="Q281" s="269">
        <v>724.18</v>
      </c>
      <c r="R281" s="269">
        <v>475062.07999999996</v>
      </c>
      <c r="S281" s="266" t="s">
        <v>1035</v>
      </c>
      <c r="T281" s="374"/>
      <c r="U281" s="349">
        <v>15249.5</v>
      </c>
      <c r="V281" s="350">
        <f t="shared" si="63"/>
        <v>15249.5</v>
      </c>
      <c r="W281" s="350">
        <v>3.21</v>
      </c>
      <c r="X281" s="350">
        <f>V281/(P281*10000)</f>
        <v>23.246189024390244</v>
      </c>
      <c r="Y281" s="350">
        <f t="shared" si="62"/>
        <v>1270.7916666666667</v>
      </c>
      <c r="Z281" s="842"/>
      <c r="AA281" s="863">
        <v>1920</v>
      </c>
      <c r="AB281" s="787"/>
      <c r="AC281" s="408"/>
      <c r="AD281" s="486"/>
      <c r="AE281" s="437"/>
      <c r="AF281" s="469"/>
      <c r="AG281" s="486"/>
      <c r="AH281" s="504"/>
      <c r="AI281" s="358"/>
      <c r="AJ281" s="560"/>
      <c r="AK281" s="475"/>
      <c r="AL281" s="766"/>
      <c r="AM281" s="340">
        <f t="shared" si="66"/>
        <v>1920</v>
      </c>
      <c r="AN281" s="340">
        <f>SUM(AA281:AL281)</f>
        <v>1920</v>
      </c>
      <c r="AO281" s="468"/>
      <c r="AP281" s="350">
        <f t="shared" si="69"/>
        <v>12.590576740220991</v>
      </c>
      <c r="AQ281" s="690">
        <v>1860</v>
      </c>
      <c r="AR281" s="695">
        <v>12.197121217089085</v>
      </c>
      <c r="AS281" s="310" t="s">
        <v>2523</v>
      </c>
      <c r="AT281" s="283" t="s">
        <v>1808</v>
      </c>
      <c r="AU281" s="267" t="s">
        <v>1634</v>
      </c>
    </row>
    <row r="282" spans="1:48" ht="168.75" x14ac:dyDescent="0.25">
      <c r="A282" s="8">
        <v>271</v>
      </c>
      <c r="B282" s="115">
        <v>181</v>
      </c>
      <c r="C282" s="403" t="s">
        <v>3558</v>
      </c>
      <c r="D282" s="330" t="s">
        <v>1855</v>
      </c>
      <c r="E282" s="109">
        <v>2438910296</v>
      </c>
      <c r="F282" s="110">
        <v>6510700000</v>
      </c>
      <c r="G282" s="110" t="s">
        <v>562</v>
      </c>
      <c r="H282" s="110" t="s">
        <v>3559</v>
      </c>
      <c r="I282" s="111" t="s">
        <v>425</v>
      </c>
      <c r="J282" s="112" t="s">
        <v>563</v>
      </c>
      <c r="K282" s="113" t="s">
        <v>564</v>
      </c>
      <c r="L282" s="112" t="s">
        <v>565</v>
      </c>
      <c r="M282" s="112" t="s">
        <v>566</v>
      </c>
      <c r="N282" s="112" t="s">
        <v>3560</v>
      </c>
      <c r="O282" s="109" t="s">
        <v>8</v>
      </c>
      <c r="P282" s="122">
        <v>0.11509999999999999</v>
      </c>
      <c r="Q282" s="123">
        <v>1570.22</v>
      </c>
      <c r="R282" s="107">
        <v>1807323.22</v>
      </c>
      <c r="S282" s="115" t="s">
        <v>567</v>
      </c>
      <c r="T282" s="369"/>
      <c r="U282" s="344">
        <v>18073.232199999999</v>
      </c>
      <c r="V282" s="344">
        <v>18073.232199999999</v>
      </c>
      <c r="W282" s="344">
        <v>1</v>
      </c>
      <c r="X282" s="345">
        <v>15.702199999999999</v>
      </c>
      <c r="Y282" s="345">
        <f t="shared" si="62"/>
        <v>1506.1026833333333</v>
      </c>
      <c r="Z282" s="807"/>
      <c r="AA282" s="852">
        <v>3270</v>
      </c>
      <c r="AB282" s="359"/>
      <c r="AC282" s="407">
        <v>3270</v>
      </c>
      <c r="AD282" s="383">
        <v>3270</v>
      </c>
      <c r="AE282" s="422"/>
      <c r="AF282" s="462"/>
      <c r="AG282" s="483"/>
      <c r="AH282" s="502"/>
      <c r="AI282" s="359"/>
      <c r="AJ282" s="749"/>
      <c r="AK282" s="529"/>
      <c r="AL282" s="752"/>
      <c r="AM282" s="340">
        <f t="shared" si="66"/>
        <v>9810</v>
      </c>
      <c r="AN282" s="340">
        <f t="shared" si="67"/>
        <v>9810</v>
      </c>
      <c r="AO282" s="468"/>
      <c r="AP282" s="333">
        <f t="shared" si="69"/>
        <v>54.279167618949757</v>
      </c>
      <c r="AQ282" s="521">
        <v>20541.07</v>
      </c>
      <c r="AR282" s="523">
        <v>113.65465663634865</v>
      </c>
      <c r="AS282" s="164" t="s">
        <v>2568</v>
      </c>
      <c r="AT282" s="126" t="s">
        <v>1723</v>
      </c>
      <c r="AU282" s="113" t="s">
        <v>1634</v>
      </c>
      <c r="AV282" s="312">
        <v>951255057</v>
      </c>
    </row>
    <row r="283" spans="1:48" ht="356.25" x14ac:dyDescent="0.25">
      <c r="A283" s="8">
        <v>272</v>
      </c>
      <c r="B283" s="115">
        <v>182</v>
      </c>
      <c r="C283" s="476" t="s">
        <v>2804</v>
      </c>
      <c r="D283" s="248" t="s">
        <v>1037</v>
      </c>
      <c r="E283" s="195" t="s">
        <v>1038</v>
      </c>
      <c r="F283" s="195">
        <v>6510700000</v>
      </c>
      <c r="G283" s="195" t="s">
        <v>1039</v>
      </c>
      <c r="H283" s="195" t="s">
        <v>1040</v>
      </c>
      <c r="I283" s="477" t="s">
        <v>3252</v>
      </c>
      <c r="J283" s="248" t="s">
        <v>2672</v>
      </c>
      <c r="K283" s="246" t="s">
        <v>1544</v>
      </c>
      <c r="L283" s="248" t="s">
        <v>1041</v>
      </c>
      <c r="M283" s="249" t="s">
        <v>1544</v>
      </c>
      <c r="N283" s="249" t="s">
        <v>3331</v>
      </c>
      <c r="O283" s="248" t="s">
        <v>8</v>
      </c>
      <c r="P283" s="478">
        <v>0.2387</v>
      </c>
      <c r="Q283" s="718">
        <f>R283/2387</f>
        <v>219.74</v>
      </c>
      <c r="R283" s="718">
        <v>524519.38</v>
      </c>
      <c r="S283" s="718" t="s">
        <v>3360</v>
      </c>
      <c r="T283" s="375"/>
      <c r="U283" s="354">
        <f>R283*W283%</f>
        <v>44584.147300000004</v>
      </c>
      <c r="V283" s="354">
        <f t="shared" ref="V283:V315" si="70">U283</f>
        <v>44584.147300000004</v>
      </c>
      <c r="W283" s="354">
        <v>8.5</v>
      </c>
      <c r="X283" s="337">
        <f>V283/(P283*10000)</f>
        <v>18.677900000000001</v>
      </c>
      <c r="Y283" s="337">
        <f t="shared" si="62"/>
        <v>3715.3456083333335</v>
      </c>
      <c r="Z283" s="807"/>
      <c r="AA283" s="743">
        <f>1857.68+1857.8</f>
        <v>3715.48</v>
      </c>
      <c r="AB283" s="396">
        <v>1857.68</v>
      </c>
      <c r="AC283" s="464"/>
      <c r="AD283" s="458"/>
      <c r="AE283" s="430"/>
      <c r="AF283" s="467"/>
      <c r="AG283" s="458"/>
      <c r="AH283" s="745"/>
      <c r="AI283" s="396"/>
      <c r="AJ283" s="746"/>
      <c r="AK283" s="747"/>
      <c r="AL283" s="748"/>
      <c r="AM283" s="340">
        <f t="shared" si="66"/>
        <v>5573.16</v>
      </c>
      <c r="AN283" s="340">
        <f t="shared" si="67"/>
        <v>5573.16</v>
      </c>
      <c r="AO283" s="468"/>
      <c r="AP283" s="337">
        <f t="shared" si="69"/>
        <v>12.500317573641247</v>
      </c>
      <c r="AQ283" s="392">
        <v>43832.540000000008</v>
      </c>
      <c r="AR283" s="460">
        <v>98.309708718293606</v>
      </c>
      <c r="AS283" s="308" t="s">
        <v>2608</v>
      </c>
      <c r="AT283" s="91" t="s">
        <v>1809</v>
      </c>
      <c r="AU283" s="62" t="s">
        <v>1632</v>
      </c>
      <c r="AV283" s="1">
        <v>951255057</v>
      </c>
    </row>
    <row r="284" spans="1:48" ht="150" x14ac:dyDescent="0.25">
      <c r="A284" s="8">
        <v>273</v>
      </c>
      <c r="B284" s="115">
        <v>183</v>
      </c>
      <c r="C284" s="108" t="s">
        <v>2768</v>
      </c>
      <c r="D284" s="146" t="s">
        <v>1042</v>
      </c>
      <c r="E284" s="115">
        <v>2415819327</v>
      </c>
      <c r="F284" s="110">
        <v>6510700000</v>
      </c>
      <c r="G284" s="110" t="s">
        <v>1043</v>
      </c>
      <c r="H284" s="110" t="s">
        <v>1044</v>
      </c>
      <c r="I284" s="111" t="s">
        <v>1045</v>
      </c>
      <c r="J284" s="109" t="s">
        <v>1046</v>
      </c>
      <c r="K284" s="127" t="s">
        <v>561</v>
      </c>
      <c r="L284" s="130" t="s">
        <v>1047</v>
      </c>
      <c r="M284" s="129" t="s">
        <v>1048</v>
      </c>
      <c r="N284" s="129"/>
      <c r="O284" s="109" t="s">
        <v>8</v>
      </c>
      <c r="P284" s="114">
        <v>0.85899999999999999</v>
      </c>
      <c r="Q284" s="107">
        <v>377.83</v>
      </c>
      <c r="R284" s="12">
        <v>3245559.7</v>
      </c>
      <c r="S284" s="107" t="s">
        <v>1049</v>
      </c>
      <c r="T284" s="369"/>
      <c r="U284" s="343">
        <f>R284*W284%</f>
        <v>97366.790999999997</v>
      </c>
      <c r="V284" s="339">
        <f t="shared" si="70"/>
        <v>97366.790999999997</v>
      </c>
      <c r="W284" s="339">
        <v>3</v>
      </c>
      <c r="X284" s="333">
        <f>V284/(P284*10000)</f>
        <v>11.334899999999999</v>
      </c>
      <c r="Y284" s="333">
        <f t="shared" si="62"/>
        <v>8113.8992499999995</v>
      </c>
      <c r="Z284" s="807"/>
      <c r="AA284" s="711">
        <v>8114.73</v>
      </c>
      <c r="AB284" s="340">
        <v>8114.73</v>
      </c>
      <c r="AC284" s="406"/>
      <c r="AD284" s="459"/>
      <c r="AE284" s="421"/>
      <c r="AF284" s="463"/>
      <c r="AG284" s="459"/>
      <c r="AH284" s="503"/>
      <c r="AI284" s="340"/>
      <c r="AJ284" s="740"/>
      <c r="AK284" s="741"/>
      <c r="AL284" s="732"/>
      <c r="AM284" s="340">
        <f t="shared" si="66"/>
        <v>16229.46</v>
      </c>
      <c r="AN284" s="340">
        <f t="shared" si="67"/>
        <v>16229.46</v>
      </c>
      <c r="AO284" s="468"/>
      <c r="AP284" s="333">
        <f t="shared" si="69"/>
        <v>16.668373100639624</v>
      </c>
      <c r="AQ284" s="521">
        <v>89560.669999999969</v>
      </c>
      <c r="AR284" s="523">
        <v>91.982768539634804</v>
      </c>
      <c r="AS284" s="164">
        <v>48877</v>
      </c>
      <c r="AT284" s="125" t="s">
        <v>1810</v>
      </c>
      <c r="AU284" s="113" t="s">
        <v>1667</v>
      </c>
    </row>
    <row r="285" spans="1:48" ht="131.25" x14ac:dyDescent="0.25">
      <c r="A285" s="8">
        <v>274</v>
      </c>
      <c r="B285" s="115">
        <v>184</v>
      </c>
      <c r="C285" s="264" t="s">
        <v>1050</v>
      </c>
      <c r="D285" s="265" t="s">
        <v>1051</v>
      </c>
      <c r="E285" s="266">
        <v>2878110594</v>
      </c>
      <c r="F285" s="266">
        <v>6510700000</v>
      </c>
      <c r="G285" s="266" t="s">
        <v>1052</v>
      </c>
      <c r="H285" s="270" t="s">
        <v>1053</v>
      </c>
      <c r="I285" s="271" t="s">
        <v>1054</v>
      </c>
      <c r="J285" s="265" t="s">
        <v>1055</v>
      </c>
      <c r="K285" s="273" t="s">
        <v>1545</v>
      </c>
      <c r="L285" s="290" t="s">
        <v>1056</v>
      </c>
      <c r="M285" s="272" t="s">
        <v>1546</v>
      </c>
      <c r="N285" s="290"/>
      <c r="O285" s="265" t="s">
        <v>8</v>
      </c>
      <c r="P285" s="268">
        <v>0.158</v>
      </c>
      <c r="Q285" s="269">
        <v>1066.43</v>
      </c>
      <c r="R285" s="269">
        <v>1684959.4000000001</v>
      </c>
      <c r="S285" s="541" t="s">
        <v>1057</v>
      </c>
      <c r="T285" s="374"/>
      <c r="U285" s="356">
        <f>R285*W285%</f>
        <v>60658.538400000012</v>
      </c>
      <c r="V285" s="350">
        <f t="shared" si="70"/>
        <v>60658.538400000012</v>
      </c>
      <c r="W285" s="350">
        <v>3.6</v>
      </c>
      <c r="X285" s="350">
        <f>V285/(P285*10000)</f>
        <v>38.391480000000008</v>
      </c>
      <c r="Y285" s="350">
        <f t="shared" si="62"/>
        <v>5054.878200000001</v>
      </c>
      <c r="Z285" s="807"/>
      <c r="AA285" s="855">
        <v>5054.8599999999997</v>
      </c>
      <c r="AB285" s="358">
        <v>5054.8599999999997</v>
      </c>
      <c r="AC285" s="408"/>
      <c r="AD285" s="486"/>
      <c r="AE285" s="437"/>
      <c r="AF285" s="469"/>
      <c r="AG285" s="486"/>
      <c r="AH285" s="504"/>
      <c r="AI285" s="358"/>
      <c r="AJ285" s="560"/>
      <c r="AK285" s="475"/>
      <c r="AL285" s="766"/>
      <c r="AM285" s="340">
        <f t="shared" si="66"/>
        <v>10109.719999999999</v>
      </c>
      <c r="AN285" s="340">
        <f t="shared" si="67"/>
        <v>10109.719999999999</v>
      </c>
      <c r="AO285" s="468"/>
      <c r="AP285" s="350">
        <f t="shared" si="69"/>
        <v>16.666606658626637</v>
      </c>
      <c r="AQ285" s="690">
        <v>56301</v>
      </c>
      <c r="AR285" s="695">
        <v>92.816281903686601</v>
      </c>
      <c r="AS285" s="310" t="s">
        <v>2609</v>
      </c>
      <c r="AT285" s="377" t="s">
        <v>1811</v>
      </c>
      <c r="AU285" s="267" t="s">
        <v>1634</v>
      </c>
    </row>
    <row r="286" spans="1:48" ht="409.5" x14ac:dyDescent="0.25">
      <c r="A286" s="8">
        <v>275</v>
      </c>
      <c r="B286" s="115">
        <v>185</v>
      </c>
      <c r="C286" s="145" t="s">
        <v>2729</v>
      </c>
      <c r="D286" s="109" t="s">
        <v>2730</v>
      </c>
      <c r="E286" s="115" t="s">
        <v>2728</v>
      </c>
      <c r="F286" s="115">
        <v>6510700000</v>
      </c>
      <c r="G286" s="115" t="s">
        <v>2731</v>
      </c>
      <c r="H286" s="109" t="s">
        <v>2730</v>
      </c>
      <c r="I286" s="113" t="s">
        <v>2732</v>
      </c>
      <c r="J286" s="130" t="s">
        <v>2733</v>
      </c>
      <c r="K286" s="127" t="s">
        <v>2711</v>
      </c>
      <c r="L286" s="130" t="s">
        <v>2734</v>
      </c>
      <c r="M286" s="129">
        <v>43683</v>
      </c>
      <c r="N286" s="130"/>
      <c r="O286" s="109" t="s">
        <v>8</v>
      </c>
      <c r="P286" s="114">
        <v>0.13700000000000001</v>
      </c>
      <c r="Q286" s="107">
        <f>R286/1370</f>
        <v>877.14010218978103</v>
      </c>
      <c r="R286" s="107">
        <v>1201681.94</v>
      </c>
      <c r="S286" s="107" t="s">
        <v>2735</v>
      </c>
      <c r="T286" s="369"/>
      <c r="U286" s="353">
        <f>R286*W286%</f>
        <v>6008.4097000000002</v>
      </c>
      <c r="V286" s="345">
        <f t="shared" si="70"/>
        <v>6008.4097000000002</v>
      </c>
      <c r="W286" s="345">
        <v>0.5</v>
      </c>
      <c r="X286" s="345">
        <f>U286/(P286*10000)</f>
        <v>4.3857005109489053</v>
      </c>
      <c r="Y286" s="345">
        <f t="shared" si="62"/>
        <v>500.70080833333333</v>
      </c>
      <c r="Z286" s="807"/>
      <c r="AA286" s="852"/>
      <c r="AB286" s="359"/>
      <c r="AC286" s="407"/>
      <c r="AD286" s="483"/>
      <c r="AE286" s="422"/>
      <c r="AF286" s="462"/>
      <c r="AG286" s="483"/>
      <c r="AH286" s="502"/>
      <c r="AI286" s="359"/>
      <c r="AJ286" s="751"/>
      <c r="AK286" s="529"/>
      <c r="AL286" s="752"/>
      <c r="AM286" s="340">
        <f t="shared" si="66"/>
        <v>0</v>
      </c>
      <c r="AN286" s="340">
        <f t="shared" si="67"/>
        <v>0</v>
      </c>
      <c r="AO286" s="468"/>
      <c r="AP286" s="345">
        <f t="shared" si="69"/>
        <v>0</v>
      </c>
      <c r="AQ286" s="521">
        <v>0</v>
      </c>
      <c r="AR286" s="523">
        <v>0</v>
      </c>
      <c r="AS286" s="164">
        <v>45470</v>
      </c>
      <c r="AT286" s="125" t="s">
        <v>1741</v>
      </c>
      <c r="AU286" s="113" t="s">
        <v>1824</v>
      </c>
    </row>
    <row r="287" spans="1:48" ht="168.75" x14ac:dyDescent="0.25">
      <c r="A287" s="8">
        <v>276</v>
      </c>
      <c r="B287" s="115">
        <v>186</v>
      </c>
      <c r="C287" s="277" t="s">
        <v>1058</v>
      </c>
      <c r="D287" s="278" t="s">
        <v>3235</v>
      </c>
      <c r="E287" s="266">
        <v>3046513049</v>
      </c>
      <c r="F287" s="270">
        <v>6510700000</v>
      </c>
      <c r="G287" s="266" t="s">
        <v>1059</v>
      </c>
      <c r="H287" s="292" t="s">
        <v>1060</v>
      </c>
      <c r="I287" s="267" t="s">
        <v>1061</v>
      </c>
      <c r="J287" s="266" t="s">
        <v>1062</v>
      </c>
      <c r="K287" s="267" t="s">
        <v>1530</v>
      </c>
      <c r="L287" s="267" t="s">
        <v>1063</v>
      </c>
      <c r="M287" s="283" t="s">
        <v>1530</v>
      </c>
      <c r="N287" s="267"/>
      <c r="O287" s="265" t="s">
        <v>8</v>
      </c>
      <c r="P287" s="268">
        <v>1.4200000000000001E-2</v>
      </c>
      <c r="Q287" s="269">
        <v>655.47</v>
      </c>
      <c r="R287" s="269">
        <v>93076.74</v>
      </c>
      <c r="S287" s="269" t="s">
        <v>3286</v>
      </c>
      <c r="T287" s="374">
        <v>11671.86</v>
      </c>
      <c r="U287" s="349">
        <v>11671.86</v>
      </c>
      <c r="V287" s="350">
        <f t="shared" si="70"/>
        <v>11671.86</v>
      </c>
      <c r="W287" s="349">
        <v>12.54</v>
      </c>
      <c r="X287" s="333">
        <f>V287/(P287*10000)</f>
        <v>82.19619718309859</v>
      </c>
      <c r="Y287" s="333">
        <f t="shared" si="62"/>
        <v>972.65500000000009</v>
      </c>
      <c r="Z287" s="807">
        <v>1289.49</v>
      </c>
      <c r="AA287" s="711">
        <v>1289.46</v>
      </c>
      <c r="AB287" s="340">
        <v>1289.46</v>
      </c>
      <c r="AC287" s="406"/>
      <c r="AD287" s="459">
        <v>2580</v>
      </c>
      <c r="AE287" s="421"/>
      <c r="AF287" s="463"/>
      <c r="AG287" s="459"/>
      <c r="AH287" s="503"/>
      <c r="AI287" s="340"/>
      <c r="AJ287" s="740"/>
      <c r="AK287" s="741"/>
      <c r="AL287" s="732"/>
      <c r="AM287" s="340">
        <f t="shared" si="66"/>
        <v>6448.41</v>
      </c>
      <c r="AN287" s="340">
        <f t="shared" si="67"/>
        <v>5158.92</v>
      </c>
      <c r="AO287" s="468"/>
      <c r="AP287" s="333">
        <f t="shared" si="69"/>
        <v>55.247492687540799</v>
      </c>
      <c r="AQ287" s="192">
        <v>10699.26</v>
      </c>
      <c r="AR287" s="416">
        <v>91.667137885478397</v>
      </c>
      <c r="AS287" s="140">
        <v>44873</v>
      </c>
      <c r="AT287" s="64" t="s">
        <v>1734</v>
      </c>
      <c r="AU287" s="13" t="s">
        <v>1634</v>
      </c>
    </row>
    <row r="288" spans="1:48" ht="168.75" x14ac:dyDescent="0.25">
      <c r="A288" s="8">
        <v>277</v>
      </c>
      <c r="B288" s="512"/>
      <c r="C288" s="277" t="s">
        <v>1058</v>
      </c>
      <c r="D288" s="278" t="s">
        <v>3235</v>
      </c>
      <c r="E288" s="266">
        <v>3046513049</v>
      </c>
      <c r="F288" s="270">
        <v>6510700000</v>
      </c>
      <c r="G288" s="270" t="s">
        <v>3236</v>
      </c>
      <c r="H288" s="266" t="s">
        <v>3074</v>
      </c>
      <c r="I288" s="271" t="s">
        <v>3043</v>
      </c>
      <c r="J288" s="266" t="s">
        <v>3237</v>
      </c>
      <c r="K288" s="271" t="s">
        <v>3023</v>
      </c>
      <c r="L288" s="271" t="s">
        <v>3238</v>
      </c>
      <c r="M288" s="300">
        <v>43784</v>
      </c>
      <c r="N288" s="271"/>
      <c r="O288" s="265" t="s">
        <v>8</v>
      </c>
      <c r="P288" s="281">
        <v>1.5E-3</v>
      </c>
      <c r="Q288" s="282">
        <f>R288/15</f>
        <v>684.84</v>
      </c>
      <c r="R288" s="269">
        <v>10272.6</v>
      </c>
      <c r="S288" s="269" t="s">
        <v>3239</v>
      </c>
      <c r="T288" s="374">
        <v>2003.86</v>
      </c>
      <c r="U288" s="349">
        <v>2003.86</v>
      </c>
      <c r="V288" s="350">
        <f t="shared" si="70"/>
        <v>2003.86</v>
      </c>
      <c r="W288" s="349">
        <f>U288*100/R288</f>
        <v>19.506843447617936</v>
      </c>
      <c r="X288" s="350">
        <f>U288/(P288*10000)</f>
        <v>133.59066666666666</v>
      </c>
      <c r="Y288" s="350">
        <f t="shared" si="62"/>
        <v>166.98833333333332</v>
      </c>
      <c r="Z288" s="808">
        <v>1024.44</v>
      </c>
      <c r="AA288" s="855"/>
      <c r="AB288" s="358"/>
      <c r="AC288" s="408"/>
      <c r="AD288" s="486"/>
      <c r="AE288" s="437"/>
      <c r="AF288" s="469"/>
      <c r="AG288" s="486"/>
      <c r="AH288" s="504"/>
      <c r="AI288" s="358"/>
      <c r="AJ288" s="560"/>
      <c r="AK288" s="475"/>
      <c r="AL288" s="766"/>
      <c r="AM288" s="340">
        <f t="shared" si="66"/>
        <v>1024.44</v>
      </c>
      <c r="AN288" s="340">
        <f t="shared" si="67"/>
        <v>0</v>
      </c>
      <c r="AO288" s="468"/>
      <c r="AP288" s="350">
        <f t="shared" si="69"/>
        <v>51.123331969299258</v>
      </c>
      <c r="AQ288" s="690">
        <v>1289.49</v>
      </c>
      <c r="AR288" s="695">
        <v>503.60867018160513</v>
      </c>
      <c r="AS288" s="310">
        <v>45566</v>
      </c>
      <c r="AT288" s="314" t="s">
        <v>1759</v>
      </c>
      <c r="AU288" s="267" t="s">
        <v>1634</v>
      </c>
    </row>
    <row r="289" spans="1:48" ht="168.75" x14ac:dyDescent="0.25">
      <c r="A289" s="526"/>
      <c r="B289" s="526"/>
      <c r="C289" s="119" t="s">
        <v>3536</v>
      </c>
      <c r="D289" s="120" t="s">
        <v>3537</v>
      </c>
      <c r="E289" s="115">
        <v>2715208190</v>
      </c>
      <c r="F289" s="110">
        <v>6510700000</v>
      </c>
      <c r="G289" s="110" t="s">
        <v>3538</v>
      </c>
      <c r="H289" s="110" t="s">
        <v>3539</v>
      </c>
      <c r="I289" s="111" t="s">
        <v>3540</v>
      </c>
      <c r="J289" s="115" t="s">
        <v>3541</v>
      </c>
      <c r="K289" s="111" t="s">
        <v>3542</v>
      </c>
      <c r="L289" s="111" t="s">
        <v>3543</v>
      </c>
      <c r="M289" s="126" t="s">
        <v>3544</v>
      </c>
      <c r="N289" s="111"/>
      <c r="O289" s="109" t="s">
        <v>8</v>
      </c>
      <c r="P289" s="122">
        <v>2.2200000000000001E-2</v>
      </c>
      <c r="Q289" s="123">
        <f>R289/222</f>
        <v>1836.1699999999998</v>
      </c>
      <c r="R289" s="107">
        <v>407629.74</v>
      </c>
      <c r="S289" s="107" t="s">
        <v>3545</v>
      </c>
      <c r="T289" s="369"/>
      <c r="U289" s="344">
        <v>40762.97</v>
      </c>
      <c r="V289" s="344">
        <v>32982.9</v>
      </c>
      <c r="W289" s="344">
        <f>U289*100/R289</f>
        <v>9.9999990187173289</v>
      </c>
      <c r="X289" s="344">
        <f>U289/(P289*10000)</f>
        <v>183.61698198198198</v>
      </c>
      <c r="Y289" s="344">
        <f t="shared" si="62"/>
        <v>2748.5750000000003</v>
      </c>
      <c r="Z289" s="1042"/>
      <c r="AA289" s="529"/>
      <c r="AB289" s="364"/>
      <c r="AC289" s="407"/>
      <c r="AD289" s="483"/>
      <c r="AE289" s="364"/>
      <c r="AF289" s="529"/>
      <c r="AG289" s="364"/>
      <c r="AH289" s="364"/>
      <c r="AI289" s="364"/>
      <c r="AJ289" s="762"/>
      <c r="AK289" s="529"/>
      <c r="AL289" s="756"/>
      <c r="AM289" s="364">
        <f t="shared" si="66"/>
        <v>0</v>
      </c>
      <c r="AN289" s="364">
        <f t="shared" si="67"/>
        <v>0</v>
      </c>
      <c r="AO289" s="562"/>
      <c r="AP289" s="344">
        <f t="shared" si="69"/>
        <v>0</v>
      </c>
      <c r="AQ289" s="107" t="s">
        <v>1887</v>
      </c>
      <c r="AR289" s="230" t="s">
        <v>1887</v>
      </c>
      <c r="AS289" s="164">
        <v>44907</v>
      </c>
      <c r="AT289" s="118" t="s">
        <v>1759</v>
      </c>
      <c r="AU289" s="113" t="s">
        <v>1713</v>
      </c>
    </row>
    <row r="290" spans="1:48" ht="150" x14ac:dyDescent="0.25">
      <c r="A290" s="8">
        <v>278</v>
      </c>
      <c r="B290" s="266">
        <v>187</v>
      </c>
      <c r="C290" s="277" t="s">
        <v>1064</v>
      </c>
      <c r="D290" s="278" t="s">
        <v>1065</v>
      </c>
      <c r="E290" s="266">
        <v>3102819964</v>
      </c>
      <c r="F290" s="270">
        <v>6510700000</v>
      </c>
      <c r="G290" s="270" t="s">
        <v>1066</v>
      </c>
      <c r="H290" s="270" t="s">
        <v>1067</v>
      </c>
      <c r="I290" s="111" t="s">
        <v>3476</v>
      </c>
      <c r="J290" s="109" t="s">
        <v>1068</v>
      </c>
      <c r="K290" s="111" t="s">
        <v>485</v>
      </c>
      <c r="L290" s="121" t="s">
        <v>1069</v>
      </c>
      <c r="M290" s="126" t="s">
        <v>1070</v>
      </c>
      <c r="N290" s="121"/>
      <c r="O290" s="109" t="s">
        <v>8</v>
      </c>
      <c r="P290" s="122">
        <v>7.0000000000000001E-3</v>
      </c>
      <c r="Q290" s="123">
        <v>659.17</v>
      </c>
      <c r="R290" s="107">
        <v>46141.899999999994</v>
      </c>
      <c r="S290" s="133" t="s">
        <v>1071</v>
      </c>
      <c r="T290" s="369"/>
      <c r="U290" s="356">
        <v>4411.29</v>
      </c>
      <c r="V290" s="350">
        <f t="shared" si="70"/>
        <v>4411.29</v>
      </c>
      <c r="W290" s="350">
        <f>U290*100/R290</f>
        <v>9.5602695164265032</v>
      </c>
      <c r="X290" s="333">
        <f>V290/(P290*10000)</f>
        <v>63.018428571428572</v>
      </c>
      <c r="Y290" s="333">
        <f t="shared" si="62"/>
        <v>367.60750000000002</v>
      </c>
      <c r="Z290" s="807"/>
      <c r="AA290" s="711">
        <v>367.7</v>
      </c>
      <c r="AB290" s="340">
        <v>367.7</v>
      </c>
      <c r="AC290" s="406"/>
      <c r="AD290" s="459">
        <v>367.7</v>
      </c>
      <c r="AE290" s="421"/>
      <c r="AF290" s="463"/>
      <c r="AG290" s="459"/>
      <c r="AH290" s="503"/>
      <c r="AI290" s="340"/>
      <c r="AJ290" s="740"/>
      <c r="AK290" s="741"/>
      <c r="AL290" s="732"/>
      <c r="AM290" s="340">
        <f t="shared" si="66"/>
        <v>1103.0999999999999</v>
      </c>
      <c r="AN290" s="340">
        <f t="shared" si="67"/>
        <v>1103.0999999999999</v>
      </c>
      <c r="AO290" s="468"/>
      <c r="AP290" s="333">
        <f t="shared" si="69"/>
        <v>25.00629067687683</v>
      </c>
      <c r="AQ290" s="521">
        <v>4436.3700000000008</v>
      </c>
      <c r="AR290" s="416">
        <v>100.56854117503045</v>
      </c>
      <c r="AS290" s="447">
        <v>45127</v>
      </c>
      <c r="AT290" s="125" t="s">
        <v>1759</v>
      </c>
      <c r="AU290" s="113" t="s">
        <v>1634</v>
      </c>
    </row>
    <row r="291" spans="1:48" ht="187.5" x14ac:dyDescent="0.25">
      <c r="A291" s="8">
        <v>279</v>
      </c>
      <c r="B291" s="266">
        <v>188</v>
      </c>
      <c r="C291" s="277" t="s">
        <v>3104</v>
      </c>
      <c r="D291" s="278" t="s">
        <v>3105</v>
      </c>
      <c r="E291" s="266">
        <v>2993508019</v>
      </c>
      <c r="F291" s="270">
        <v>6510700000</v>
      </c>
      <c r="G291" s="270" t="s">
        <v>3106</v>
      </c>
      <c r="H291" s="270" t="s">
        <v>3107</v>
      </c>
      <c r="I291" s="111" t="s">
        <v>3108</v>
      </c>
      <c r="J291" s="121" t="s">
        <v>3109</v>
      </c>
      <c r="K291" s="111" t="s">
        <v>3110</v>
      </c>
      <c r="L291" s="121" t="s">
        <v>3111</v>
      </c>
      <c r="M291" s="126">
        <v>43724</v>
      </c>
      <c r="N291" s="121"/>
      <c r="O291" s="109" t="s">
        <v>8</v>
      </c>
      <c r="P291" s="122">
        <v>9.9000000000000008E-3</v>
      </c>
      <c r="Q291" s="123">
        <f>R291/99</f>
        <v>2258.85</v>
      </c>
      <c r="R291" s="107">
        <v>223626.15</v>
      </c>
      <c r="S291" s="133" t="s">
        <v>3112</v>
      </c>
      <c r="T291" s="369">
        <v>22809.86</v>
      </c>
      <c r="U291" s="356">
        <v>22809.86</v>
      </c>
      <c r="V291" s="356">
        <f t="shared" si="70"/>
        <v>22809.86</v>
      </c>
      <c r="W291" s="356">
        <v>10.199999999999999</v>
      </c>
      <c r="X291" s="333">
        <f>U291/(P291*10000)</f>
        <v>230.40262626262623</v>
      </c>
      <c r="Y291" s="333">
        <f t="shared" si="62"/>
        <v>1900.8216666666667</v>
      </c>
      <c r="Z291" s="807"/>
      <c r="AA291" s="858">
        <v>12500</v>
      </c>
      <c r="AB291" s="340">
        <v>4464.46</v>
      </c>
      <c r="AC291" s="406"/>
      <c r="AD291" s="459"/>
      <c r="AE291" s="421"/>
      <c r="AF291" s="463"/>
      <c r="AG291" s="459"/>
      <c r="AH291" s="503"/>
      <c r="AI291" s="340"/>
      <c r="AJ291" s="740"/>
      <c r="AK291" s="741"/>
      <c r="AL291" s="732"/>
      <c r="AM291" s="340">
        <f t="shared" si="66"/>
        <v>16964.46</v>
      </c>
      <c r="AN291" s="340">
        <f t="shared" si="67"/>
        <v>16964.46</v>
      </c>
      <c r="AO291" s="468"/>
      <c r="AP291" s="333">
        <f t="shared" si="69"/>
        <v>74.373363098239096</v>
      </c>
      <c r="AQ291" s="521">
        <v>6763.72</v>
      </c>
      <c r="AR291" s="416">
        <v>101.66619819716904</v>
      </c>
      <c r="AS291" s="164">
        <v>45534</v>
      </c>
      <c r="AT291" s="124" t="s">
        <v>1759</v>
      </c>
      <c r="AU291" s="113" t="s">
        <v>1713</v>
      </c>
    </row>
    <row r="292" spans="1:48" ht="150" x14ac:dyDescent="0.25">
      <c r="A292" s="8">
        <v>280</v>
      </c>
      <c r="B292" s="414">
        <v>189</v>
      </c>
      <c r="C292" s="119" t="s">
        <v>1072</v>
      </c>
      <c r="D292" s="120" t="s">
        <v>1073</v>
      </c>
      <c r="E292" s="115">
        <v>2706301806</v>
      </c>
      <c r="F292" s="110">
        <v>6510700000</v>
      </c>
      <c r="G292" s="110" t="s">
        <v>1074</v>
      </c>
      <c r="H292" s="110" t="s">
        <v>1075</v>
      </c>
      <c r="I292" s="111" t="s">
        <v>1076</v>
      </c>
      <c r="J292" s="121" t="s">
        <v>1077</v>
      </c>
      <c r="K292" s="111" t="s">
        <v>1078</v>
      </c>
      <c r="L292" s="121" t="s">
        <v>1079</v>
      </c>
      <c r="M292" s="126" t="s">
        <v>587</v>
      </c>
      <c r="N292" s="121"/>
      <c r="O292" s="109" t="s">
        <v>8</v>
      </c>
      <c r="P292" s="122">
        <v>2.3900000000000001E-2</v>
      </c>
      <c r="Q292" s="123">
        <v>842.27</v>
      </c>
      <c r="R292" s="107">
        <v>201302.53</v>
      </c>
      <c r="S292" s="133" t="s">
        <v>1080</v>
      </c>
      <c r="T292" s="369"/>
      <c r="U292" s="353">
        <f>R292*W292%</f>
        <v>20130.253000000001</v>
      </c>
      <c r="V292" s="353">
        <f t="shared" si="70"/>
        <v>20130.253000000001</v>
      </c>
      <c r="W292" s="353">
        <v>10</v>
      </c>
      <c r="X292" s="345">
        <f t="shared" ref="X292:X297" si="71">V292/(P292*10000)</f>
        <v>84.227000000000004</v>
      </c>
      <c r="Y292" s="345">
        <f t="shared" si="62"/>
        <v>1677.5210833333333</v>
      </c>
      <c r="Z292" s="807"/>
      <c r="AA292" s="859">
        <v>1677.53</v>
      </c>
      <c r="AB292" s="359"/>
      <c r="AC292" s="407"/>
      <c r="AD292" s="483">
        <v>1680</v>
      </c>
      <c r="AE292" s="422"/>
      <c r="AF292" s="462"/>
      <c r="AG292" s="483"/>
      <c r="AH292" s="502"/>
      <c r="AI292" s="359"/>
      <c r="AJ292" s="751"/>
      <c r="AK292" s="529"/>
      <c r="AL292" s="752"/>
      <c r="AM292" s="340">
        <f t="shared" si="66"/>
        <v>3357.5299999999997</v>
      </c>
      <c r="AN292" s="340">
        <f t="shared" si="67"/>
        <v>3357.5299999999997</v>
      </c>
      <c r="AO292" s="468"/>
      <c r="AP292" s="345">
        <f t="shared" si="69"/>
        <v>16.679025345583089</v>
      </c>
      <c r="AQ292" s="521">
        <v>16775.22</v>
      </c>
      <c r="AR292" s="523">
        <v>83.333378870101626</v>
      </c>
      <c r="AS292" s="164" t="s">
        <v>2571</v>
      </c>
      <c r="AT292" s="124" t="s">
        <v>1812</v>
      </c>
      <c r="AU292" s="113" t="s">
        <v>1634</v>
      </c>
      <c r="AV292" s="1"/>
    </row>
    <row r="293" spans="1:48" ht="225" x14ac:dyDescent="0.25">
      <c r="A293" s="8">
        <v>281</v>
      </c>
      <c r="B293" s="115">
        <v>190</v>
      </c>
      <c r="C293" s="119" t="s">
        <v>2553</v>
      </c>
      <c r="D293" s="120" t="s">
        <v>2944</v>
      </c>
      <c r="E293" s="115">
        <v>2941313160</v>
      </c>
      <c r="F293" s="110">
        <v>6510700000</v>
      </c>
      <c r="G293" s="110" t="s">
        <v>1081</v>
      </c>
      <c r="H293" s="110" t="s">
        <v>1082</v>
      </c>
      <c r="I293" s="111" t="s">
        <v>2554</v>
      </c>
      <c r="J293" s="126" t="s">
        <v>2945</v>
      </c>
      <c r="K293" s="111" t="s">
        <v>2946</v>
      </c>
      <c r="L293" s="126" t="s">
        <v>2835</v>
      </c>
      <c r="M293" s="126">
        <v>42179</v>
      </c>
      <c r="N293" s="126" t="s">
        <v>2947</v>
      </c>
      <c r="O293" s="109" t="s">
        <v>8</v>
      </c>
      <c r="P293" s="114">
        <v>3.0000000000000001E-3</v>
      </c>
      <c r="Q293" s="107">
        <f>R293/30</f>
        <v>646.09</v>
      </c>
      <c r="R293" s="107">
        <v>19382.7</v>
      </c>
      <c r="S293" s="107" t="s">
        <v>2948</v>
      </c>
      <c r="T293" s="369"/>
      <c r="U293" s="344">
        <f>R293*W293%</f>
        <v>193.827</v>
      </c>
      <c r="V293" s="345">
        <f t="shared" si="70"/>
        <v>193.827</v>
      </c>
      <c r="W293" s="345">
        <v>1</v>
      </c>
      <c r="X293" s="345">
        <f t="shared" si="71"/>
        <v>6.4608999999999996</v>
      </c>
      <c r="Y293" s="345">
        <f t="shared" si="62"/>
        <v>16.152249999999999</v>
      </c>
      <c r="Z293" s="807"/>
      <c r="AA293" s="852"/>
      <c r="AB293" s="359"/>
      <c r="AC293" s="407"/>
      <c r="AD293" s="483"/>
      <c r="AE293" s="422"/>
      <c r="AF293" s="462"/>
      <c r="AG293" s="483"/>
      <c r="AH293" s="502"/>
      <c r="AI293" s="359"/>
      <c r="AJ293" s="751"/>
      <c r="AK293" s="529"/>
      <c r="AL293" s="752"/>
      <c r="AM293" s="340">
        <f t="shared" si="66"/>
        <v>0</v>
      </c>
      <c r="AN293" s="340">
        <f t="shared" si="67"/>
        <v>0</v>
      </c>
      <c r="AO293" s="468"/>
      <c r="AP293" s="345">
        <f t="shared" si="69"/>
        <v>0</v>
      </c>
      <c r="AQ293" s="521">
        <v>193.83</v>
      </c>
      <c r="AR293" s="523">
        <v>100.00154777198223</v>
      </c>
      <c r="AS293" s="164">
        <v>43866</v>
      </c>
      <c r="AT293" s="120" t="s">
        <v>1731</v>
      </c>
      <c r="AU293" s="113" t="s">
        <v>1802</v>
      </c>
      <c r="AV293" s="1"/>
    </row>
    <row r="294" spans="1:48" ht="150" x14ac:dyDescent="0.25">
      <c r="A294" s="8">
        <v>282</v>
      </c>
      <c r="B294" s="115">
        <v>191</v>
      </c>
      <c r="C294" s="277" t="s">
        <v>2767</v>
      </c>
      <c r="D294" s="278" t="s">
        <v>1083</v>
      </c>
      <c r="E294" s="266">
        <v>3142718288</v>
      </c>
      <c r="F294" s="270">
        <v>6510700000</v>
      </c>
      <c r="G294" s="270" t="s">
        <v>1084</v>
      </c>
      <c r="H294" s="270" t="s">
        <v>1085</v>
      </c>
      <c r="I294" s="271" t="s">
        <v>1086</v>
      </c>
      <c r="J294" s="300" t="s">
        <v>1087</v>
      </c>
      <c r="K294" s="271" t="s">
        <v>1521</v>
      </c>
      <c r="L294" s="300" t="s">
        <v>1088</v>
      </c>
      <c r="M294" s="300" t="s">
        <v>1547</v>
      </c>
      <c r="N294" s="300"/>
      <c r="O294" s="265" t="s">
        <v>8</v>
      </c>
      <c r="P294" s="268">
        <v>1.5699999999999999E-2</v>
      </c>
      <c r="Q294" s="269">
        <v>2258.81</v>
      </c>
      <c r="R294" s="269">
        <v>354633.17</v>
      </c>
      <c r="S294" s="269" t="s">
        <v>1089</v>
      </c>
      <c r="T294" s="374"/>
      <c r="U294" s="349">
        <v>27528.42</v>
      </c>
      <c r="V294" s="349">
        <f t="shared" si="70"/>
        <v>27528.42</v>
      </c>
      <c r="W294" s="349">
        <v>7.7629999999999999</v>
      </c>
      <c r="X294" s="349">
        <f t="shared" si="71"/>
        <v>175.34025477707004</v>
      </c>
      <c r="Y294" s="349">
        <f t="shared" si="62"/>
        <v>2294.0349999999999</v>
      </c>
      <c r="AA294" s="840">
        <f>650+2295</f>
        <v>2945</v>
      </c>
      <c r="AB294" s="410">
        <f>210+20+2295</f>
        <v>2525</v>
      </c>
      <c r="AC294" s="408"/>
      <c r="AD294" s="486"/>
      <c r="AE294" s="410"/>
      <c r="AF294" s="475"/>
      <c r="AG294" s="486"/>
      <c r="AH294" s="504"/>
      <c r="AI294" s="504"/>
      <c r="AJ294" s="765"/>
      <c r="AK294" s="475"/>
      <c r="AL294" s="561"/>
      <c r="AM294" s="340">
        <f>SUM(AA294:AK294)</f>
        <v>5470</v>
      </c>
      <c r="AN294" s="340">
        <f>SUM(AA294:AL294)</f>
        <v>5470</v>
      </c>
      <c r="AO294" s="468"/>
      <c r="AP294" s="349">
        <f t="shared" si="69"/>
        <v>19.870373962617542</v>
      </c>
      <c r="AQ294" s="702">
        <v>22950</v>
      </c>
      <c r="AR294" s="695">
        <v>83.368388015004129</v>
      </c>
      <c r="AS294" s="497" t="s">
        <v>2572</v>
      </c>
      <c r="AT294" s="498" t="s">
        <v>1813</v>
      </c>
      <c r="AU294" s="499" t="s">
        <v>1713</v>
      </c>
      <c r="AV294" s="1"/>
    </row>
    <row r="295" spans="1:48" ht="150" x14ac:dyDescent="0.25">
      <c r="A295" s="8">
        <v>284</v>
      </c>
      <c r="B295" s="266">
        <v>193</v>
      </c>
      <c r="C295" s="108" t="s">
        <v>1090</v>
      </c>
      <c r="D295" s="109" t="s">
        <v>1091</v>
      </c>
      <c r="E295" s="109">
        <v>2683002068</v>
      </c>
      <c r="F295" s="110">
        <v>6510700000</v>
      </c>
      <c r="G295" s="110" t="s">
        <v>1092</v>
      </c>
      <c r="H295" s="110" t="s">
        <v>1093</v>
      </c>
      <c r="I295" s="111"/>
      <c r="J295" s="113" t="s">
        <v>1094</v>
      </c>
      <c r="K295" s="113" t="s">
        <v>1095</v>
      </c>
      <c r="L295" s="113" t="s">
        <v>1096</v>
      </c>
      <c r="M295" s="112" t="s">
        <v>1097</v>
      </c>
      <c r="N295" s="113"/>
      <c r="O295" s="109" t="s">
        <v>8</v>
      </c>
      <c r="P295" s="114">
        <v>5.7999999999999996E-3</v>
      </c>
      <c r="Q295" s="107">
        <v>931.19</v>
      </c>
      <c r="R295" s="107">
        <v>54009.02</v>
      </c>
      <c r="S295" s="107" t="s">
        <v>1098</v>
      </c>
      <c r="T295" s="369"/>
      <c r="U295" s="343">
        <f>R295*W295%</f>
        <v>5940.9921999999997</v>
      </c>
      <c r="V295" s="339">
        <f t="shared" si="70"/>
        <v>5940.9921999999997</v>
      </c>
      <c r="W295" s="339">
        <v>11</v>
      </c>
      <c r="X295" s="333">
        <f t="shared" si="71"/>
        <v>102.43090000000001</v>
      </c>
      <c r="Y295" s="333">
        <f t="shared" si="62"/>
        <v>495.08268333333331</v>
      </c>
      <c r="Z295" s="807"/>
      <c r="AA295" s="711">
        <v>990.19</v>
      </c>
      <c r="AB295" s="340"/>
      <c r="AC295" s="406"/>
      <c r="AD295" s="459">
        <v>990.16</v>
      </c>
      <c r="AE295" s="421"/>
      <c r="AF295" s="463"/>
      <c r="AG295" s="459"/>
      <c r="AH295" s="503"/>
      <c r="AI295" s="340"/>
      <c r="AJ295" s="740"/>
      <c r="AK295" s="741"/>
      <c r="AL295" s="732"/>
      <c r="AM295" s="340">
        <f t="shared" si="66"/>
        <v>1980.35</v>
      </c>
      <c r="AN295" s="340">
        <f t="shared" si="67"/>
        <v>1980.35</v>
      </c>
      <c r="AO295" s="468"/>
      <c r="AP295" s="333">
        <f t="shared" si="69"/>
        <v>33.333657633820827</v>
      </c>
      <c r="AQ295" s="521">
        <v>5996.99</v>
      </c>
      <c r="AR295" s="523">
        <v>100.94256646221486</v>
      </c>
      <c r="AS295" s="164" t="s">
        <v>2573</v>
      </c>
      <c r="AT295" s="125" t="s">
        <v>1814</v>
      </c>
      <c r="AU295" s="113" t="s">
        <v>1634</v>
      </c>
    </row>
    <row r="296" spans="1:48" ht="262.5" x14ac:dyDescent="0.25">
      <c r="A296" s="8">
        <v>285</v>
      </c>
      <c r="B296" s="266">
        <v>194</v>
      </c>
      <c r="C296" s="119" t="s">
        <v>2250</v>
      </c>
      <c r="D296" s="120" t="s">
        <v>2251</v>
      </c>
      <c r="E296" s="115" t="s">
        <v>1099</v>
      </c>
      <c r="F296" s="110">
        <v>6510700000</v>
      </c>
      <c r="G296" s="115" t="s">
        <v>1100</v>
      </c>
      <c r="H296" s="115" t="s">
        <v>2252</v>
      </c>
      <c r="I296" s="113" t="s">
        <v>2253</v>
      </c>
      <c r="J296" s="113" t="s">
        <v>2673</v>
      </c>
      <c r="K296" s="113" t="s">
        <v>2254</v>
      </c>
      <c r="L296" s="113" t="s">
        <v>2255</v>
      </c>
      <c r="M296" s="112" t="s">
        <v>2256</v>
      </c>
      <c r="N296" s="113" t="s">
        <v>3080</v>
      </c>
      <c r="O296" s="109" t="s">
        <v>8</v>
      </c>
      <c r="P296" s="114">
        <v>0.79</v>
      </c>
      <c r="Q296" s="107">
        <f>R296/7900</f>
        <v>226.71</v>
      </c>
      <c r="R296" s="107">
        <v>1791009</v>
      </c>
      <c r="S296" s="115" t="s">
        <v>2082</v>
      </c>
      <c r="T296" s="369"/>
      <c r="U296" s="353">
        <f>R296*W296%</f>
        <v>18805.594500000003</v>
      </c>
      <c r="V296" s="353">
        <f t="shared" si="70"/>
        <v>18805.594500000003</v>
      </c>
      <c r="W296" s="353">
        <v>1.05</v>
      </c>
      <c r="X296" s="345">
        <f t="shared" si="71"/>
        <v>2.3804550000000004</v>
      </c>
      <c r="Y296" s="345">
        <f t="shared" si="62"/>
        <v>1567.1328750000002</v>
      </c>
      <c r="Z296" s="807"/>
      <c r="AA296" s="852"/>
      <c r="AB296" s="359"/>
      <c r="AC296" s="407"/>
      <c r="AD296" s="483"/>
      <c r="AE296" s="422"/>
      <c r="AF296" s="462"/>
      <c r="AG296" s="483"/>
      <c r="AH296" s="502"/>
      <c r="AI296" s="359"/>
      <c r="AJ296" s="762"/>
      <c r="AK296" s="529"/>
      <c r="AL296" s="752"/>
      <c r="AM296" s="340">
        <f t="shared" si="66"/>
        <v>0</v>
      </c>
      <c r="AN296" s="340">
        <f t="shared" si="67"/>
        <v>0</v>
      </c>
      <c r="AO296" s="468"/>
      <c r="AP296" s="345">
        <f t="shared" si="69"/>
        <v>0</v>
      </c>
      <c r="AQ296" s="521">
        <v>106064.59</v>
      </c>
      <c r="AR296" s="523">
        <v>127.66608782483421</v>
      </c>
      <c r="AS296" s="164">
        <v>43918</v>
      </c>
      <c r="AT296" s="125" t="s">
        <v>1815</v>
      </c>
      <c r="AU296" s="113" t="s">
        <v>2257</v>
      </c>
    </row>
    <row r="297" spans="1:48" ht="150" x14ac:dyDescent="0.25">
      <c r="A297" s="8">
        <v>286</v>
      </c>
      <c r="B297" s="266">
        <v>195</v>
      </c>
      <c r="C297" s="277" t="s">
        <v>1101</v>
      </c>
      <c r="D297" s="278" t="s">
        <v>1102</v>
      </c>
      <c r="E297" s="293" t="s">
        <v>1548</v>
      </c>
      <c r="F297" s="270">
        <v>6510700000</v>
      </c>
      <c r="G297" s="294" t="s">
        <v>1103</v>
      </c>
      <c r="H297" s="265" t="s">
        <v>1104</v>
      </c>
      <c r="I297" s="267" t="s">
        <v>1105</v>
      </c>
      <c r="J297" s="265" t="s">
        <v>1106</v>
      </c>
      <c r="K297" s="267" t="s">
        <v>1549</v>
      </c>
      <c r="L297" s="265" t="s">
        <v>1107</v>
      </c>
      <c r="M297" s="283" t="s">
        <v>1108</v>
      </c>
      <c r="N297" s="265"/>
      <c r="O297" s="286" t="s">
        <v>8</v>
      </c>
      <c r="P297" s="281">
        <v>0.48699999999999999</v>
      </c>
      <c r="Q297" s="263">
        <v>273.52</v>
      </c>
      <c r="R297" s="269">
        <v>1332042.3999999999</v>
      </c>
      <c r="S297" s="269" t="s">
        <v>2083</v>
      </c>
      <c r="T297" s="374"/>
      <c r="U297" s="356">
        <v>41160.129999999997</v>
      </c>
      <c r="V297" s="356">
        <f t="shared" si="70"/>
        <v>41160.129999999997</v>
      </c>
      <c r="W297" s="356">
        <v>3.09</v>
      </c>
      <c r="X297" s="333">
        <f t="shared" si="71"/>
        <v>8.4517720739219708</v>
      </c>
      <c r="Y297" s="333">
        <f t="shared" si="62"/>
        <v>3430.0108333333333</v>
      </c>
      <c r="Z297" s="807"/>
      <c r="AA297" s="711"/>
      <c r="AB297" s="340"/>
      <c r="AC297" s="406"/>
      <c r="AD297" s="459"/>
      <c r="AE297" s="421"/>
      <c r="AF297" s="463"/>
      <c r="AG297" s="459"/>
      <c r="AH297" s="503"/>
      <c r="AI297" s="340"/>
      <c r="AJ297" s="740"/>
      <c r="AK297" s="741"/>
      <c r="AL297" s="732"/>
      <c r="AM297" s="340">
        <f t="shared" si="66"/>
        <v>0</v>
      </c>
      <c r="AN297" s="340">
        <f t="shared" si="67"/>
        <v>0</v>
      </c>
      <c r="AO297" s="468"/>
      <c r="AP297" s="333">
        <f t="shared" si="69"/>
        <v>0</v>
      </c>
      <c r="AQ297" s="192">
        <v>41160.129999999997</v>
      </c>
      <c r="AR297" s="416">
        <v>100</v>
      </c>
      <c r="AS297" s="179">
        <v>44803</v>
      </c>
      <c r="AT297" s="106" t="s">
        <v>1683</v>
      </c>
      <c r="AU297" s="13" t="s">
        <v>1639</v>
      </c>
      <c r="AV297" s="509"/>
    </row>
    <row r="298" spans="1:48" ht="206.25" x14ac:dyDescent="0.25">
      <c r="A298" s="8">
        <v>287</v>
      </c>
      <c r="B298" s="266">
        <v>196</v>
      </c>
      <c r="C298" s="108" t="s">
        <v>2315</v>
      </c>
      <c r="D298" s="109" t="s">
        <v>2005</v>
      </c>
      <c r="E298" s="109">
        <v>3227824359</v>
      </c>
      <c r="F298" s="110">
        <v>6510700000</v>
      </c>
      <c r="G298" s="110" t="s">
        <v>467</v>
      </c>
      <c r="H298" s="110" t="s">
        <v>2316</v>
      </c>
      <c r="I298" s="111" t="s">
        <v>2317</v>
      </c>
      <c r="J298" s="112" t="s">
        <v>2318</v>
      </c>
      <c r="K298" s="113" t="s">
        <v>2296</v>
      </c>
      <c r="L298" s="112" t="s">
        <v>2319</v>
      </c>
      <c r="M298" s="112" t="s">
        <v>2320</v>
      </c>
      <c r="N298" s="112"/>
      <c r="O298" s="109" t="s">
        <v>8</v>
      </c>
      <c r="P298" s="114">
        <v>0.36</v>
      </c>
      <c r="Q298" s="107">
        <f>R298/3600</f>
        <v>725.91</v>
      </c>
      <c r="R298" s="107">
        <v>2613276</v>
      </c>
      <c r="S298" s="107" t="s">
        <v>2321</v>
      </c>
      <c r="T298" s="369"/>
      <c r="U298" s="344">
        <f>R298*W298%</f>
        <v>27439.398000000001</v>
      </c>
      <c r="V298" s="344">
        <f t="shared" si="70"/>
        <v>27439.398000000001</v>
      </c>
      <c r="W298" s="344">
        <v>1.05</v>
      </c>
      <c r="X298" s="344">
        <f>U298/(P298*10000)</f>
        <v>7.6220550000000005</v>
      </c>
      <c r="Y298" s="344">
        <f t="shared" ref="Y298:Y361" si="72">V298/12</f>
        <v>2286.6165000000001</v>
      </c>
      <c r="Z298" s="840"/>
      <c r="AA298" s="529"/>
      <c r="AB298" s="364"/>
      <c r="AC298" s="407"/>
      <c r="AD298" s="483"/>
      <c r="AE298" s="422"/>
      <c r="AF298" s="462"/>
      <c r="AG298" s="483"/>
      <c r="AH298" s="502"/>
      <c r="AI298" s="364"/>
      <c r="AJ298" s="762"/>
      <c r="AK298" s="529"/>
      <c r="AL298" s="756"/>
      <c r="AM298" s="340">
        <f t="shared" si="66"/>
        <v>0</v>
      </c>
      <c r="AN298" s="340">
        <f t="shared" si="67"/>
        <v>0</v>
      </c>
      <c r="AO298" s="468"/>
      <c r="AP298" s="344">
        <f t="shared" si="69"/>
        <v>0</v>
      </c>
      <c r="AQ298" s="521">
        <v>7267.33</v>
      </c>
      <c r="AR298" s="523">
        <v>38.601598810187767</v>
      </c>
      <c r="AS298" s="164" t="s">
        <v>2524</v>
      </c>
      <c r="AT298" s="112" t="s">
        <v>2322</v>
      </c>
      <c r="AU298" s="113" t="s">
        <v>1713</v>
      </c>
    </row>
    <row r="299" spans="1:48" ht="168.75" x14ac:dyDescent="0.25">
      <c r="A299" s="8">
        <v>288</v>
      </c>
      <c r="B299" s="266">
        <v>197</v>
      </c>
      <c r="C299" s="277" t="s">
        <v>1109</v>
      </c>
      <c r="D299" s="278" t="s">
        <v>1110</v>
      </c>
      <c r="E299" s="293" t="s">
        <v>1550</v>
      </c>
      <c r="F299" s="270">
        <v>6510700000</v>
      </c>
      <c r="G299" s="294" t="s">
        <v>1111</v>
      </c>
      <c r="H299" s="265" t="s">
        <v>1112</v>
      </c>
      <c r="I299" s="267" t="s">
        <v>1113</v>
      </c>
      <c r="J299" s="265" t="s">
        <v>2752</v>
      </c>
      <c r="K299" s="267" t="s">
        <v>1114</v>
      </c>
      <c r="L299" s="265" t="s">
        <v>1115</v>
      </c>
      <c r="M299" s="283" t="s">
        <v>611</v>
      </c>
      <c r="N299" s="265"/>
      <c r="O299" s="286" t="s">
        <v>8</v>
      </c>
      <c r="P299" s="281">
        <v>0.28000000000000003</v>
      </c>
      <c r="Q299" s="263">
        <v>231.29</v>
      </c>
      <c r="R299" s="269">
        <v>647612</v>
      </c>
      <c r="S299" s="269" t="s">
        <v>1116</v>
      </c>
      <c r="T299" s="374"/>
      <c r="U299" s="356">
        <v>7123.72</v>
      </c>
      <c r="V299" s="350">
        <f t="shared" si="70"/>
        <v>7123.72</v>
      </c>
      <c r="W299" s="350">
        <f>V299*100/R299</f>
        <v>1.0999981470386591</v>
      </c>
      <c r="X299" s="350">
        <f>V299/(P299*10000)</f>
        <v>2.5441857142857138</v>
      </c>
      <c r="Y299" s="350">
        <f t="shared" si="72"/>
        <v>593.64333333333332</v>
      </c>
      <c r="Z299" s="807"/>
      <c r="AA299" s="855"/>
      <c r="AB299" s="358"/>
      <c r="AC299" s="408"/>
      <c r="AD299" s="486"/>
      <c r="AE299" s="437"/>
      <c r="AF299" s="469"/>
      <c r="AG299" s="486"/>
      <c r="AH299" s="504"/>
      <c r="AI299" s="358"/>
      <c r="AJ299" s="560"/>
      <c r="AK299" s="475"/>
      <c r="AL299" s="766"/>
      <c r="AM299" s="340">
        <f t="shared" si="66"/>
        <v>0</v>
      </c>
      <c r="AN299" s="340">
        <f t="shared" si="67"/>
        <v>0</v>
      </c>
      <c r="AO299" s="468"/>
      <c r="AP299" s="350">
        <f t="shared" si="69"/>
        <v>0</v>
      </c>
      <c r="AQ299" s="690">
        <v>7123.72</v>
      </c>
      <c r="AR299" s="695">
        <v>100</v>
      </c>
      <c r="AS299" s="310" t="s">
        <v>2574</v>
      </c>
      <c r="AT299" s="479" t="s">
        <v>1816</v>
      </c>
      <c r="AU299" s="267" t="s">
        <v>1639</v>
      </c>
      <c r="AV299" s="261"/>
    </row>
    <row r="300" spans="1:48" ht="243.75" x14ac:dyDescent="0.25">
      <c r="A300" s="8">
        <v>289</v>
      </c>
      <c r="B300" s="266"/>
      <c r="C300" s="277" t="s">
        <v>1109</v>
      </c>
      <c r="D300" s="278" t="s">
        <v>1110</v>
      </c>
      <c r="E300" s="293" t="s">
        <v>1550</v>
      </c>
      <c r="F300" s="270">
        <v>6510700000</v>
      </c>
      <c r="G300" s="294" t="s">
        <v>2749</v>
      </c>
      <c r="H300" s="265" t="s">
        <v>2750</v>
      </c>
      <c r="I300" s="267" t="s">
        <v>2751</v>
      </c>
      <c r="J300" s="265" t="s">
        <v>2753</v>
      </c>
      <c r="K300" s="267" t="s">
        <v>2754</v>
      </c>
      <c r="L300" s="265" t="s">
        <v>2755</v>
      </c>
      <c r="M300" s="283">
        <v>43698</v>
      </c>
      <c r="N300" s="265"/>
      <c r="O300" s="286" t="s">
        <v>8</v>
      </c>
      <c r="P300" s="281">
        <v>0.23480000000000001</v>
      </c>
      <c r="Q300" s="263">
        <f>R300/2348</f>
        <v>457.78999999999996</v>
      </c>
      <c r="R300" s="269">
        <v>1074890.92</v>
      </c>
      <c r="S300" s="269" t="s">
        <v>2756</v>
      </c>
      <c r="T300" s="374">
        <v>15048.46</v>
      </c>
      <c r="U300" s="349">
        <v>15048.46</v>
      </c>
      <c r="V300" s="349">
        <f t="shared" si="70"/>
        <v>15048.46</v>
      </c>
      <c r="W300" s="349">
        <v>1.4</v>
      </c>
      <c r="X300" s="349">
        <f>U300/(P300*10000)</f>
        <v>6.4090545144804087</v>
      </c>
      <c r="Y300" s="349">
        <f t="shared" si="72"/>
        <v>1254.0383333333332</v>
      </c>
      <c r="Z300" s="840"/>
      <c r="AA300" s="475"/>
      <c r="AB300" s="410"/>
      <c r="AC300" s="408"/>
      <c r="AD300" s="901"/>
      <c r="AE300" s="475"/>
      <c r="AF300" s="475"/>
      <c r="AG300" s="486"/>
      <c r="AH300" s="504"/>
      <c r="AI300" s="410"/>
      <c r="AJ300" s="560"/>
      <c r="AK300" s="475"/>
      <c r="AL300" s="561"/>
      <c r="AM300" s="340">
        <f t="shared" si="66"/>
        <v>0</v>
      </c>
      <c r="AN300" s="340">
        <f t="shared" si="67"/>
        <v>0</v>
      </c>
      <c r="AO300" s="468"/>
      <c r="AP300" s="349">
        <f t="shared" si="69"/>
        <v>0</v>
      </c>
      <c r="AQ300" s="690">
        <v>6525</v>
      </c>
      <c r="AR300" s="695">
        <v>111.47767285873174</v>
      </c>
      <c r="AS300" s="310">
        <v>45513</v>
      </c>
      <c r="AT300" s="439" t="s">
        <v>2757</v>
      </c>
      <c r="AU300" s="267" t="s">
        <v>1634</v>
      </c>
      <c r="AV300" s="261"/>
    </row>
    <row r="301" spans="1:48" ht="206.25" x14ac:dyDescent="0.25">
      <c r="A301" s="8">
        <v>290</v>
      </c>
      <c r="B301" s="266">
        <v>198</v>
      </c>
      <c r="C301" s="96" t="s">
        <v>1117</v>
      </c>
      <c r="D301" s="10" t="s">
        <v>1118</v>
      </c>
      <c r="E301" s="10">
        <v>2794407658</v>
      </c>
      <c r="F301" s="9">
        <v>6510700000</v>
      </c>
      <c r="G301" s="9" t="s">
        <v>1119</v>
      </c>
      <c r="H301" s="14" t="s">
        <v>1120</v>
      </c>
      <c r="I301" s="13"/>
      <c r="J301" s="13" t="s">
        <v>2674</v>
      </c>
      <c r="K301" s="13"/>
      <c r="L301" s="13" t="s">
        <v>1121</v>
      </c>
      <c r="M301" s="20" t="s">
        <v>1122</v>
      </c>
      <c r="N301" s="13" t="s">
        <v>1123</v>
      </c>
      <c r="O301" s="24" t="s">
        <v>8</v>
      </c>
      <c r="P301" s="27">
        <v>0.99729999999999996</v>
      </c>
      <c r="Q301" s="12">
        <v>208.16</v>
      </c>
      <c r="R301" s="12">
        <v>2075979.68</v>
      </c>
      <c r="S301" s="12" t="s">
        <v>1124</v>
      </c>
      <c r="T301" s="368"/>
      <c r="U301" s="336">
        <f t="shared" ref="U301:U310" si="73">R301*W301%</f>
        <v>62279.390399999997</v>
      </c>
      <c r="V301" s="333">
        <f t="shared" si="70"/>
        <v>62279.390399999997</v>
      </c>
      <c r="W301" s="336">
        <v>3</v>
      </c>
      <c r="X301" s="333">
        <f t="shared" ref="X301:X306" si="74">V301/(P301*10000)</f>
        <v>6.2447999999999997</v>
      </c>
      <c r="Y301" s="333">
        <f t="shared" si="72"/>
        <v>5189.9492</v>
      </c>
      <c r="Z301" s="807"/>
      <c r="AA301" s="711">
        <v>5189.95</v>
      </c>
      <c r="AB301" s="340">
        <v>5189.95</v>
      </c>
      <c r="AC301" s="406"/>
      <c r="AD301" s="459">
        <v>5189.95</v>
      </c>
      <c r="AE301" s="421"/>
      <c r="AF301" s="463"/>
      <c r="AG301" s="459"/>
      <c r="AH301" s="503"/>
      <c r="AI301" s="340"/>
      <c r="AJ301" s="740"/>
      <c r="AK301" s="741"/>
      <c r="AL301" s="732"/>
      <c r="AM301" s="340">
        <f t="shared" si="66"/>
        <v>15569.849999999999</v>
      </c>
      <c r="AN301" s="340">
        <f t="shared" si="67"/>
        <v>15569.849999999999</v>
      </c>
      <c r="AO301" s="468"/>
      <c r="AP301" s="333">
        <f t="shared" si="69"/>
        <v>25.000003853602266</v>
      </c>
      <c r="AQ301" s="192">
        <v>64089.449999999983</v>
      </c>
      <c r="AR301" s="416">
        <v>38.589882777658005</v>
      </c>
      <c r="AS301" s="166">
        <v>44706</v>
      </c>
      <c r="AT301" s="31" t="s">
        <v>1817</v>
      </c>
      <c r="AU301" s="13" t="s">
        <v>1639</v>
      </c>
    </row>
    <row r="302" spans="1:48" ht="300" x14ac:dyDescent="0.25">
      <c r="A302" s="8">
        <v>291</v>
      </c>
      <c r="B302" s="266">
        <v>199</v>
      </c>
      <c r="C302" s="108" t="s">
        <v>1125</v>
      </c>
      <c r="D302" s="109" t="s">
        <v>1126</v>
      </c>
      <c r="E302" s="115">
        <v>2565911353</v>
      </c>
      <c r="F302" s="110">
        <v>6510700000</v>
      </c>
      <c r="G302" s="115" t="s">
        <v>1127</v>
      </c>
      <c r="H302" s="115" t="s">
        <v>1128</v>
      </c>
      <c r="I302" s="113"/>
      <c r="J302" s="113" t="s">
        <v>2675</v>
      </c>
      <c r="K302" s="113" t="s">
        <v>1129</v>
      </c>
      <c r="L302" s="113" t="s">
        <v>1130</v>
      </c>
      <c r="M302" s="112" t="s">
        <v>1131</v>
      </c>
      <c r="N302" s="113" t="s">
        <v>3451</v>
      </c>
      <c r="O302" s="167" t="s">
        <v>8</v>
      </c>
      <c r="P302" s="114">
        <v>0.1905</v>
      </c>
      <c r="Q302" s="107">
        <v>457.79</v>
      </c>
      <c r="R302" s="107">
        <v>872089.95</v>
      </c>
      <c r="S302" s="107" t="s">
        <v>1132</v>
      </c>
      <c r="T302" s="369"/>
      <c r="U302" s="343">
        <f t="shared" si="73"/>
        <v>9156.9444750000002</v>
      </c>
      <c r="V302" s="343">
        <f t="shared" si="70"/>
        <v>9156.9444750000002</v>
      </c>
      <c r="W302" s="336">
        <v>1.05</v>
      </c>
      <c r="X302" s="333">
        <f t="shared" si="74"/>
        <v>4.8067950000000002</v>
      </c>
      <c r="Y302" s="333">
        <f t="shared" si="72"/>
        <v>763.07870624999998</v>
      </c>
      <c r="Z302" s="807"/>
      <c r="AA302" s="711">
        <v>763</v>
      </c>
      <c r="AB302" s="340">
        <v>763.07</v>
      </c>
      <c r="AC302" s="406"/>
      <c r="AD302" s="459">
        <v>764</v>
      </c>
      <c r="AE302" s="421"/>
      <c r="AF302" s="463"/>
      <c r="AG302" s="459"/>
      <c r="AH302" s="503"/>
      <c r="AI302" s="340"/>
      <c r="AJ302" s="740"/>
      <c r="AK302" s="741"/>
      <c r="AL302" s="732"/>
      <c r="AM302" s="340">
        <f t="shared" si="66"/>
        <v>2290.0700000000002</v>
      </c>
      <c r="AN302" s="340">
        <f t="shared" si="67"/>
        <v>2290.0700000000002</v>
      </c>
      <c r="AO302" s="468"/>
      <c r="AP302" s="333">
        <f t="shared" si="69"/>
        <v>25.00910654478988</v>
      </c>
      <c r="AQ302" s="521">
        <v>74504.430000000022</v>
      </c>
      <c r="AR302" s="523">
        <v>100.50829113239443</v>
      </c>
      <c r="AS302" s="164" t="s">
        <v>2573</v>
      </c>
      <c r="AT302" s="125" t="s">
        <v>1818</v>
      </c>
      <c r="AU302" s="113" t="s">
        <v>1679</v>
      </c>
      <c r="AV302" s="312"/>
    </row>
    <row r="303" spans="1:48" ht="150" x14ac:dyDescent="0.25">
      <c r="A303" s="8">
        <v>292</v>
      </c>
      <c r="B303" s="266">
        <v>200</v>
      </c>
      <c r="C303" s="108" t="s">
        <v>1908</v>
      </c>
      <c r="D303" s="109" t="s">
        <v>1133</v>
      </c>
      <c r="E303" s="115">
        <v>2071717171</v>
      </c>
      <c r="F303" s="110">
        <v>6510700000</v>
      </c>
      <c r="G303" s="109" t="s">
        <v>1134</v>
      </c>
      <c r="H303" s="109" t="s">
        <v>1135</v>
      </c>
      <c r="I303" s="113"/>
      <c r="J303" s="188" t="s">
        <v>1136</v>
      </c>
      <c r="K303" s="113" t="s">
        <v>1137</v>
      </c>
      <c r="L303" s="112" t="s">
        <v>1138</v>
      </c>
      <c r="M303" s="112" t="s">
        <v>1137</v>
      </c>
      <c r="N303" s="112" t="s">
        <v>1869</v>
      </c>
      <c r="O303" s="109" t="s">
        <v>8</v>
      </c>
      <c r="P303" s="114">
        <v>5.0000000000000001E-3</v>
      </c>
      <c r="Q303" s="107">
        <v>853.15</v>
      </c>
      <c r="R303" s="107">
        <v>42657.5</v>
      </c>
      <c r="S303" s="107" t="s">
        <v>1909</v>
      </c>
      <c r="T303" s="369"/>
      <c r="U303" s="353">
        <f t="shared" si="73"/>
        <v>3625.8875000000003</v>
      </c>
      <c r="V303" s="353">
        <f t="shared" si="70"/>
        <v>3625.8875000000003</v>
      </c>
      <c r="W303" s="353">
        <v>8.5</v>
      </c>
      <c r="X303" s="333">
        <f t="shared" si="74"/>
        <v>72.517750000000007</v>
      </c>
      <c r="Y303" s="333">
        <f t="shared" si="72"/>
        <v>302.15729166666671</v>
      </c>
      <c r="Z303" s="807"/>
      <c r="AA303" s="852">
        <v>320</v>
      </c>
      <c r="AB303" s="359">
        <v>320</v>
      </c>
      <c r="AC303" s="407">
        <v>320</v>
      </c>
      <c r="AD303" s="483">
        <v>320</v>
      </c>
      <c r="AE303" s="422"/>
      <c r="AF303" s="462"/>
      <c r="AG303" s="483"/>
      <c r="AH303" s="502"/>
      <c r="AI303" s="359"/>
      <c r="AJ303" s="751"/>
      <c r="AK303" s="529"/>
      <c r="AL303" s="752"/>
      <c r="AM303" s="340">
        <f t="shared" si="66"/>
        <v>1280</v>
      </c>
      <c r="AN303" s="340">
        <f t="shared" si="67"/>
        <v>1280</v>
      </c>
      <c r="AO303" s="468"/>
      <c r="AP303" s="333">
        <f t="shared" si="69"/>
        <v>35.301701997097261</v>
      </c>
      <c r="AQ303" s="521">
        <v>3675</v>
      </c>
      <c r="AR303" s="523">
        <v>101.35449596822846</v>
      </c>
      <c r="AS303" s="164" t="s">
        <v>2575</v>
      </c>
      <c r="AT303" s="112" t="s">
        <v>1819</v>
      </c>
      <c r="AU303" s="113" t="s">
        <v>1634</v>
      </c>
      <c r="AV303" s="1"/>
    </row>
    <row r="304" spans="1:48" ht="150" x14ac:dyDescent="0.25">
      <c r="A304" s="8">
        <v>293</v>
      </c>
      <c r="B304" s="266">
        <v>201</v>
      </c>
      <c r="C304" s="108" t="s">
        <v>2323</v>
      </c>
      <c r="D304" s="109" t="s">
        <v>1139</v>
      </c>
      <c r="E304" s="115">
        <v>1976822299</v>
      </c>
      <c r="F304" s="110">
        <v>6510700000</v>
      </c>
      <c r="G304" s="110" t="s">
        <v>1140</v>
      </c>
      <c r="H304" s="110" t="s">
        <v>1141</v>
      </c>
      <c r="I304" s="111" t="s">
        <v>908</v>
      </c>
      <c r="J304" s="112" t="s">
        <v>1142</v>
      </c>
      <c r="K304" s="113" t="s">
        <v>1551</v>
      </c>
      <c r="L304" s="112" t="s">
        <v>1143</v>
      </c>
      <c r="M304" s="112" t="s">
        <v>1552</v>
      </c>
      <c r="N304" s="112" t="s">
        <v>2504</v>
      </c>
      <c r="O304" s="109" t="s">
        <v>8</v>
      </c>
      <c r="P304" s="147">
        <v>3.6799999999999999E-2</v>
      </c>
      <c r="Q304" s="143">
        <f>R304/368</f>
        <v>1889.2199999999998</v>
      </c>
      <c r="R304" s="107">
        <v>695232.96</v>
      </c>
      <c r="S304" s="107" t="s">
        <v>2324</v>
      </c>
      <c r="T304" s="369"/>
      <c r="U304" s="344">
        <f t="shared" si="73"/>
        <v>20856.988799999999</v>
      </c>
      <c r="V304" s="345">
        <f t="shared" si="70"/>
        <v>20856.988799999999</v>
      </c>
      <c r="W304" s="345">
        <v>3</v>
      </c>
      <c r="X304" s="345">
        <f t="shared" si="74"/>
        <v>56.676600000000001</v>
      </c>
      <c r="Y304" s="345">
        <f t="shared" si="72"/>
        <v>1738.0824</v>
      </c>
      <c r="Z304" s="807"/>
      <c r="AA304" s="852">
        <v>2216</v>
      </c>
      <c r="AB304" s="359">
        <v>2216</v>
      </c>
      <c r="AC304" s="407">
        <v>2019</v>
      </c>
      <c r="AD304" s="483"/>
      <c r="AE304" s="422"/>
      <c r="AF304" s="462"/>
      <c r="AG304" s="483"/>
      <c r="AH304" s="502"/>
      <c r="AI304" s="359"/>
      <c r="AJ304" s="762"/>
      <c r="AK304" s="529"/>
      <c r="AL304" s="752"/>
      <c r="AM304" s="340">
        <f t="shared" si="66"/>
        <v>6451</v>
      </c>
      <c r="AN304" s="340">
        <f t="shared" si="67"/>
        <v>6451</v>
      </c>
      <c r="AO304" s="468"/>
      <c r="AP304" s="345">
        <f t="shared" si="69"/>
        <v>30.929680510736048</v>
      </c>
      <c r="AQ304" s="521">
        <v>21508</v>
      </c>
      <c r="AR304" s="523">
        <v>103.12130963027607</v>
      </c>
      <c r="AS304" s="164">
        <v>44697</v>
      </c>
      <c r="AT304" s="148" t="s">
        <v>1820</v>
      </c>
      <c r="AU304" s="113" t="s">
        <v>1634</v>
      </c>
    </row>
    <row r="305" spans="1:48" ht="409.5" x14ac:dyDescent="0.25">
      <c r="A305" s="8">
        <v>294</v>
      </c>
      <c r="B305" s="266">
        <v>202</v>
      </c>
      <c r="C305" s="97" t="s">
        <v>2805</v>
      </c>
      <c r="D305" s="14" t="s">
        <v>2836</v>
      </c>
      <c r="E305" s="8" t="s">
        <v>1144</v>
      </c>
      <c r="F305" s="16">
        <v>6510700000</v>
      </c>
      <c r="G305" s="16" t="s">
        <v>1145</v>
      </c>
      <c r="H305" s="16" t="s">
        <v>1146</v>
      </c>
      <c r="I305" s="81"/>
      <c r="J305" s="62" t="s">
        <v>1147</v>
      </c>
      <c r="K305" s="62" t="s">
        <v>3422</v>
      </c>
      <c r="L305" s="62"/>
      <c r="M305" s="65">
        <v>41246</v>
      </c>
      <c r="N305" s="62"/>
      <c r="O305" s="14" t="s">
        <v>8</v>
      </c>
      <c r="P305" s="66">
        <v>5.7299999999999997E-2</v>
      </c>
      <c r="Q305" s="67">
        <v>525.27</v>
      </c>
      <c r="R305" s="68">
        <v>300979.70999999996</v>
      </c>
      <c r="S305" s="68"/>
      <c r="T305" s="367"/>
      <c r="U305" s="336">
        <f t="shared" si="73"/>
        <v>300.97970999999995</v>
      </c>
      <c r="V305" s="333">
        <f t="shared" si="70"/>
        <v>300.97970999999995</v>
      </c>
      <c r="W305" s="333">
        <v>0.1</v>
      </c>
      <c r="X305" s="333">
        <f t="shared" si="74"/>
        <v>0.5252699999999999</v>
      </c>
      <c r="Y305" s="333">
        <f t="shared" si="72"/>
        <v>25.081642499999997</v>
      </c>
      <c r="Z305" s="807"/>
      <c r="AA305" s="711"/>
      <c r="AB305" s="340"/>
      <c r="AC305" s="406"/>
      <c r="AD305" s="459"/>
      <c r="AE305" s="421"/>
      <c r="AF305" s="788"/>
      <c r="AG305" s="459"/>
      <c r="AH305" s="503"/>
      <c r="AI305" s="340"/>
      <c r="AJ305" s="740"/>
      <c r="AK305" s="741"/>
      <c r="AL305" s="732"/>
      <c r="AM305" s="340">
        <f t="shared" si="66"/>
        <v>0</v>
      </c>
      <c r="AN305" s="340">
        <f t="shared" si="67"/>
        <v>0</v>
      </c>
      <c r="AO305" s="468"/>
      <c r="AP305" s="333">
        <f t="shared" si="69"/>
        <v>0</v>
      </c>
      <c r="AQ305" s="472">
        <v>760</v>
      </c>
      <c r="AR305" s="416">
        <v>252.50871562073075</v>
      </c>
      <c r="AS305" s="308">
        <v>43072</v>
      </c>
      <c r="AT305" s="69" t="s">
        <v>1761</v>
      </c>
      <c r="AU305" s="62"/>
      <c r="AV305" s="402">
        <v>509455613</v>
      </c>
    </row>
    <row r="306" spans="1:48" ht="150" x14ac:dyDescent="0.25">
      <c r="A306" s="8">
        <v>295</v>
      </c>
      <c r="B306" s="266">
        <v>203</v>
      </c>
      <c r="C306" s="256" t="s">
        <v>1148</v>
      </c>
      <c r="D306" s="257" t="s">
        <v>1149</v>
      </c>
      <c r="E306" s="205">
        <v>2422221277</v>
      </c>
      <c r="F306" s="258">
        <v>6510700000</v>
      </c>
      <c r="G306" s="258" t="s">
        <v>1150</v>
      </c>
      <c r="H306" s="258" t="s">
        <v>1151</v>
      </c>
      <c r="I306" s="259"/>
      <c r="J306" s="257" t="s">
        <v>1152</v>
      </c>
      <c r="K306" s="260" t="s">
        <v>1153</v>
      </c>
      <c r="L306" s="14" t="s">
        <v>1154</v>
      </c>
      <c r="M306" s="65" t="s">
        <v>1553</v>
      </c>
      <c r="N306" s="14" t="s">
        <v>1155</v>
      </c>
      <c r="O306" s="14" t="s">
        <v>8</v>
      </c>
      <c r="P306" s="66">
        <v>2.5000000000000001E-3</v>
      </c>
      <c r="Q306" s="70">
        <v>1972.7</v>
      </c>
      <c r="R306" s="68">
        <v>49317.5</v>
      </c>
      <c r="S306" s="68" t="s">
        <v>1156</v>
      </c>
      <c r="T306" s="367"/>
      <c r="U306" s="343">
        <f t="shared" si="73"/>
        <v>2959.0499999999997</v>
      </c>
      <c r="V306" s="339">
        <f t="shared" si="70"/>
        <v>2959.0499999999997</v>
      </c>
      <c r="W306" s="339">
        <v>6</v>
      </c>
      <c r="X306" s="333">
        <f t="shared" si="74"/>
        <v>118.36199999999999</v>
      </c>
      <c r="Y306" s="333">
        <f t="shared" si="72"/>
        <v>246.58749999999998</v>
      </c>
      <c r="Z306" s="807"/>
      <c r="AA306" s="711">
        <v>246.59</v>
      </c>
      <c r="AB306" s="340">
        <v>246.59</v>
      </c>
      <c r="AC306" s="388">
        <v>246.59</v>
      </c>
      <c r="AD306" s="459">
        <v>246.59</v>
      </c>
      <c r="AE306" s="421"/>
      <c r="AF306" s="463"/>
      <c r="AG306" s="459"/>
      <c r="AH306" s="503"/>
      <c r="AI306" s="340"/>
      <c r="AJ306" s="559"/>
      <c r="AK306" s="741"/>
      <c r="AL306" s="732"/>
      <c r="AM306" s="340">
        <f t="shared" si="66"/>
        <v>986.36</v>
      </c>
      <c r="AN306" s="340">
        <f t="shared" si="67"/>
        <v>986.36</v>
      </c>
      <c r="AO306" s="468"/>
      <c r="AP306" s="333">
        <f t="shared" si="69"/>
        <v>33.33367127963367</v>
      </c>
      <c r="AQ306" s="472">
        <v>2712.4900000000002</v>
      </c>
      <c r="AR306" s="416">
        <v>91.667596018992597</v>
      </c>
      <c r="AS306" s="308" t="s">
        <v>2556</v>
      </c>
      <c r="AT306" s="69" t="s">
        <v>1780</v>
      </c>
      <c r="AU306" s="62" t="s">
        <v>1634</v>
      </c>
    </row>
    <row r="307" spans="1:48" ht="150" x14ac:dyDescent="0.25">
      <c r="A307" s="8">
        <v>296</v>
      </c>
      <c r="B307" s="266">
        <v>204</v>
      </c>
      <c r="C307" s="119" t="s">
        <v>2736</v>
      </c>
      <c r="D307" s="120" t="s">
        <v>2737</v>
      </c>
      <c r="E307" s="115">
        <v>1986302760</v>
      </c>
      <c r="F307" s="110">
        <v>6510700000</v>
      </c>
      <c r="G307" s="110" t="s">
        <v>2738</v>
      </c>
      <c r="H307" s="110" t="s">
        <v>2740</v>
      </c>
      <c r="I307" s="111" t="s">
        <v>2739</v>
      </c>
      <c r="J307" s="109" t="s">
        <v>2742</v>
      </c>
      <c r="K307" s="113" t="s">
        <v>2743</v>
      </c>
      <c r="L307" s="109" t="s">
        <v>2741</v>
      </c>
      <c r="M307" s="112" t="s">
        <v>2744</v>
      </c>
      <c r="N307" s="109"/>
      <c r="O307" s="109" t="s">
        <v>8</v>
      </c>
      <c r="P307" s="147">
        <v>5.5999999999999999E-3</v>
      </c>
      <c r="Q307" s="241">
        <f>R307/56</f>
        <v>2043.2</v>
      </c>
      <c r="R307" s="107">
        <v>114419.2</v>
      </c>
      <c r="S307" s="107" t="s">
        <v>2745</v>
      </c>
      <c r="T307" s="369"/>
      <c r="U307" s="344">
        <f t="shared" si="73"/>
        <v>9725.6319999999996</v>
      </c>
      <c r="V307" s="344">
        <f t="shared" si="70"/>
        <v>9725.6319999999996</v>
      </c>
      <c r="W307" s="344">
        <v>8.5</v>
      </c>
      <c r="X307" s="344">
        <f>U307/(P307*10000)</f>
        <v>173.672</v>
      </c>
      <c r="Y307" s="344">
        <f t="shared" si="72"/>
        <v>810.46933333333334</v>
      </c>
      <c r="Z307" s="840"/>
      <c r="AA307" s="529"/>
      <c r="AB307" s="364"/>
      <c r="AC307" s="407"/>
      <c r="AD307" s="483"/>
      <c r="AE307" s="364"/>
      <c r="AF307" s="529"/>
      <c r="AG307" s="483"/>
      <c r="AH307" s="502"/>
      <c r="AI307" s="364"/>
      <c r="AJ307" s="751"/>
      <c r="AK307" s="529"/>
      <c r="AL307" s="756"/>
      <c r="AM307" s="340">
        <f t="shared" si="66"/>
        <v>0</v>
      </c>
      <c r="AN307" s="340">
        <f t="shared" si="67"/>
        <v>0</v>
      </c>
      <c r="AO307" s="468"/>
      <c r="AP307" s="344">
        <f t="shared" si="69"/>
        <v>0</v>
      </c>
      <c r="AQ307" s="521">
        <v>0</v>
      </c>
      <c r="AR307" s="523">
        <v>0</v>
      </c>
      <c r="AS307" s="164">
        <v>44772</v>
      </c>
      <c r="AT307" s="491" t="s">
        <v>2746</v>
      </c>
      <c r="AU307" s="113" t="s">
        <v>1634</v>
      </c>
      <c r="AV307" s="242"/>
    </row>
    <row r="308" spans="1:48" ht="150" x14ac:dyDescent="0.25">
      <c r="A308" s="8">
        <v>297</v>
      </c>
      <c r="B308" s="266">
        <v>205</v>
      </c>
      <c r="C308" s="119" t="s">
        <v>1157</v>
      </c>
      <c r="D308" s="120" t="s">
        <v>1158</v>
      </c>
      <c r="E308" s="115">
        <v>2225205869</v>
      </c>
      <c r="F308" s="110">
        <v>6510700000</v>
      </c>
      <c r="G308" s="110" t="s">
        <v>1159</v>
      </c>
      <c r="H308" s="110" t="s">
        <v>1160</v>
      </c>
      <c r="I308" s="111"/>
      <c r="J308" s="109" t="s">
        <v>1161</v>
      </c>
      <c r="K308" s="113" t="s">
        <v>1162</v>
      </c>
      <c r="L308" s="109" t="s">
        <v>3205</v>
      </c>
      <c r="M308" s="112" t="s">
        <v>1162</v>
      </c>
      <c r="N308" s="109" t="s">
        <v>1163</v>
      </c>
      <c r="O308" s="109" t="s">
        <v>8</v>
      </c>
      <c r="P308" s="114">
        <v>3.2000000000000002E-3</v>
      </c>
      <c r="Q308" s="107">
        <v>1972.75</v>
      </c>
      <c r="R308" s="107">
        <v>63128</v>
      </c>
      <c r="S308" s="107" t="s">
        <v>1164</v>
      </c>
      <c r="T308" s="369"/>
      <c r="U308" s="343">
        <f t="shared" si="73"/>
        <v>6944.08</v>
      </c>
      <c r="V308" s="339">
        <f t="shared" si="70"/>
        <v>6944.08</v>
      </c>
      <c r="W308" s="339">
        <v>11</v>
      </c>
      <c r="X308" s="333">
        <f t="shared" ref="X308:X316" si="75">V308/(P308*10000)</f>
        <v>217.0025</v>
      </c>
      <c r="Y308" s="333">
        <f t="shared" si="72"/>
        <v>578.67333333333329</v>
      </c>
      <c r="Z308" s="807"/>
      <c r="AA308" s="711"/>
      <c r="AB308" s="340"/>
      <c r="AC308" s="406"/>
      <c r="AD308" s="459">
        <v>1777</v>
      </c>
      <c r="AE308" s="421"/>
      <c r="AF308" s="468"/>
      <c r="AG308" s="459"/>
      <c r="AH308" s="789"/>
      <c r="AI308" s="340"/>
      <c r="AJ308" s="740"/>
      <c r="AK308" s="741"/>
      <c r="AL308" s="732"/>
      <c r="AM308" s="340">
        <f t="shared" si="66"/>
        <v>1777</v>
      </c>
      <c r="AN308" s="340">
        <f t="shared" si="67"/>
        <v>1777</v>
      </c>
      <c r="AO308" s="468"/>
      <c r="AP308" s="333">
        <f t="shared" si="69"/>
        <v>25.590142970703102</v>
      </c>
      <c r="AQ308" s="521">
        <v>6944.08</v>
      </c>
      <c r="AR308" s="416">
        <v>100</v>
      </c>
      <c r="AS308" s="164" t="s">
        <v>2542</v>
      </c>
      <c r="AT308" s="125" t="s">
        <v>1752</v>
      </c>
      <c r="AU308" s="113" t="s">
        <v>1634</v>
      </c>
      <c r="AV308" s="261"/>
    </row>
    <row r="309" spans="1:48" ht="318.75" x14ac:dyDescent="0.25">
      <c r="A309" s="8">
        <v>299</v>
      </c>
      <c r="B309" s="266">
        <v>207</v>
      </c>
      <c r="C309" s="252" t="s">
        <v>1175</v>
      </c>
      <c r="D309" s="214" t="s">
        <v>1167</v>
      </c>
      <c r="E309" s="214" t="s">
        <v>1555</v>
      </c>
      <c r="F309" s="206">
        <v>6510700000</v>
      </c>
      <c r="G309" s="206" t="s">
        <v>1176</v>
      </c>
      <c r="H309" s="209" t="s">
        <v>1177</v>
      </c>
      <c r="I309" s="210" t="s">
        <v>229</v>
      </c>
      <c r="J309" s="253" t="s">
        <v>1178</v>
      </c>
      <c r="K309" s="254" t="s">
        <v>1165</v>
      </c>
      <c r="L309" s="71" t="s">
        <v>1179</v>
      </c>
      <c r="M309" s="321" t="s">
        <v>1556</v>
      </c>
      <c r="N309" s="71"/>
      <c r="O309" s="10" t="s">
        <v>8</v>
      </c>
      <c r="P309" s="27">
        <v>5.16E-2</v>
      </c>
      <c r="Q309" s="54">
        <v>2043.19</v>
      </c>
      <c r="R309" s="12">
        <v>1054286.04</v>
      </c>
      <c r="S309" s="12" t="s">
        <v>1180</v>
      </c>
      <c r="T309" s="368"/>
      <c r="U309" s="343">
        <f t="shared" si="73"/>
        <v>105428.60400000001</v>
      </c>
      <c r="V309" s="339">
        <f t="shared" si="70"/>
        <v>105428.60400000001</v>
      </c>
      <c r="W309" s="339">
        <v>10</v>
      </c>
      <c r="X309" s="333">
        <f t="shared" si="75"/>
        <v>204.31900000000002</v>
      </c>
      <c r="Y309" s="333">
        <f t="shared" si="72"/>
        <v>8785.7170000000006</v>
      </c>
      <c r="Z309" s="807"/>
      <c r="AA309" s="711"/>
      <c r="AB309" s="340"/>
      <c r="AC309" s="406"/>
      <c r="AD309" s="459"/>
      <c r="AE309" s="421"/>
      <c r="AF309" s="463"/>
      <c r="AG309" s="459"/>
      <c r="AH309" s="503"/>
      <c r="AI309" s="340"/>
      <c r="AJ309" s="740"/>
      <c r="AK309" s="741"/>
      <c r="AL309" s="732"/>
      <c r="AM309" s="340">
        <f t="shared" si="66"/>
        <v>0</v>
      </c>
      <c r="AN309" s="340">
        <f t="shared" si="67"/>
        <v>0</v>
      </c>
      <c r="AO309" s="468"/>
      <c r="AP309" s="333">
        <f t="shared" si="69"/>
        <v>0</v>
      </c>
      <c r="AQ309" s="192">
        <v>14000</v>
      </c>
      <c r="AR309" s="416">
        <v>13.27912868883287</v>
      </c>
      <c r="AS309" s="140" t="s">
        <v>2610</v>
      </c>
      <c r="AT309" s="18" t="s">
        <v>1822</v>
      </c>
      <c r="AU309" s="13" t="s">
        <v>1634</v>
      </c>
      <c r="AV309" s="1"/>
    </row>
    <row r="310" spans="1:48" ht="131.25" x14ac:dyDescent="0.25">
      <c r="A310" s="8">
        <v>300</v>
      </c>
      <c r="B310" s="266">
        <v>208</v>
      </c>
      <c r="C310" s="96" t="s">
        <v>2806</v>
      </c>
      <c r="D310" s="10" t="s">
        <v>1181</v>
      </c>
      <c r="E310" s="10">
        <v>2112819299</v>
      </c>
      <c r="F310" s="9">
        <v>6510700000</v>
      </c>
      <c r="G310" s="9" t="s">
        <v>1182</v>
      </c>
      <c r="H310" s="19" t="s">
        <v>1183</v>
      </c>
      <c r="I310" s="75" t="s">
        <v>1184</v>
      </c>
      <c r="J310" s="10" t="s">
        <v>2676</v>
      </c>
      <c r="K310" s="52" t="s">
        <v>1557</v>
      </c>
      <c r="L310" s="24"/>
      <c r="M310" s="319" t="s">
        <v>1558</v>
      </c>
      <c r="N310" s="24"/>
      <c r="O310" s="24" t="s">
        <v>8</v>
      </c>
      <c r="P310" s="27">
        <v>8.1900000000000001E-2</v>
      </c>
      <c r="Q310" s="54">
        <v>296.52999999999997</v>
      </c>
      <c r="R310" s="12">
        <v>242858.06999999998</v>
      </c>
      <c r="S310" s="12" t="s">
        <v>1185</v>
      </c>
      <c r="T310" s="368"/>
      <c r="U310" s="336">
        <f t="shared" si="73"/>
        <v>242.85806999999997</v>
      </c>
      <c r="V310" s="333">
        <f t="shared" si="70"/>
        <v>242.85806999999997</v>
      </c>
      <c r="W310" s="333">
        <v>0.1</v>
      </c>
      <c r="X310" s="333">
        <f t="shared" si="75"/>
        <v>0.29652999999999996</v>
      </c>
      <c r="Y310" s="333">
        <f t="shared" si="72"/>
        <v>20.238172499999997</v>
      </c>
      <c r="Z310" s="807"/>
      <c r="AA310" s="711"/>
      <c r="AB310" s="340"/>
      <c r="AC310" s="406"/>
      <c r="AD310" s="459"/>
      <c r="AE310" s="421"/>
      <c r="AF310" s="463"/>
      <c r="AG310" s="459"/>
      <c r="AH310" s="503"/>
      <c r="AI310" s="340"/>
      <c r="AJ310" s="740"/>
      <c r="AK310" s="741"/>
      <c r="AL310" s="732"/>
      <c r="AM310" s="340">
        <f t="shared" si="66"/>
        <v>0</v>
      </c>
      <c r="AN310" s="340">
        <f t="shared" si="67"/>
        <v>0</v>
      </c>
      <c r="AO310" s="468"/>
      <c r="AP310" s="333">
        <f t="shared" si="69"/>
        <v>0</v>
      </c>
      <c r="AQ310" s="192">
        <v>0</v>
      </c>
      <c r="AR310" s="416">
        <v>0</v>
      </c>
      <c r="AS310" s="140" t="s">
        <v>2611</v>
      </c>
      <c r="AT310" s="31" t="s">
        <v>1741</v>
      </c>
      <c r="AU310" s="13"/>
    </row>
    <row r="311" spans="1:48" ht="243.75" x14ac:dyDescent="0.25">
      <c r="A311" s="8">
        <v>301</v>
      </c>
      <c r="B311" s="266">
        <v>209</v>
      </c>
      <c r="C311" s="277" t="s">
        <v>1186</v>
      </c>
      <c r="D311" s="265" t="s">
        <v>1187</v>
      </c>
      <c r="E311" s="265">
        <v>1780303268</v>
      </c>
      <c r="F311" s="266">
        <v>6510700000</v>
      </c>
      <c r="G311" s="266" t="s">
        <v>1188</v>
      </c>
      <c r="H311" s="270" t="s">
        <v>1189</v>
      </c>
      <c r="I311" s="271" t="s">
        <v>1190</v>
      </c>
      <c r="J311" s="287" t="s">
        <v>1191</v>
      </c>
      <c r="K311" s="493" t="s">
        <v>1559</v>
      </c>
      <c r="L311" s="494" t="s">
        <v>1192</v>
      </c>
      <c r="M311" s="495" t="s">
        <v>1560</v>
      </c>
      <c r="N311" s="494"/>
      <c r="O311" s="286" t="s">
        <v>8</v>
      </c>
      <c r="P311" s="268">
        <v>8.5000000000000006E-2</v>
      </c>
      <c r="Q311" s="280">
        <v>1223.58</v>
      </c>
      <c r="R311" s="269">
        <v>1040051.5</v>
      </c>
      <c r="S311" s="269" t="s">
        <v>1193</v>
      </c>
      <c r="T311" s="374"/>
      <c r="U311" s="349">
        <v>32293.62</v>
      </c>
      <c r="V311" s="350">
        <f t="shared" si="70"/>
        <v>32293.62</v>
      </c>
      <c r="W311" s="350">
        <v>3.105</v>
      </c>
      <c r="X311" s="350">
        <f t="shared" si="75"/>
        <v>37.992494117647055</v>
      </c>
      <c r="Y311" s="350">
        <f t="shared" si="72"/>
        <v>2691.1349999999998</v>
      </c>
      <c r="Z311" s="807"/>
      <c r="AA311" s="855">
        <v>2692</v>
      </c>
      <c r="AB311" s="358"/>
      <c r="AC311" s="408"/>
      <c r="AD311" s="486">
        <v>2692</v>
      </c>
      <c r="AE311" s="437"/>
      <c r="AF311" s="469"/>
      <c r="AG311" s="486"/>
      <c r="AH311" s="504"/>
      <c r="AI311" s="358"/>
      <c r="AJ311" s="560"/>
      <c r="AK311" s="475"/>
      <c r="AL311" s="766"/>
      <c r="AM311" s="340">
        <f t="shared" si="66"/>
        <v>5384</v>
      </c>
      <c r="AN311" s="340">
        <f t="shared" si="67"/>
        <v>5384</v>
      </c>
      <c r="AO311" s="468"/>
      <c r="AP311" s="350">
        <f t="shared" si="69"/>
        <v>16.672023761969083</v>
      </c>
      <c r="AQ311" s="690">
        <v>24221.98</v>
      </c>
      <c r="AR311" s="695">
        <v>75.005465475843224</v>
      </c>
      <c r="AS311" s="310" t="s">
        <v>2612</v>
      </c>
      <c r="AT311" s="313" t="s">
        <v>1823</v>
      </c>
      <c r="AU311" s="496" t="s">
        <v>1634</v>
      </c>
      <c r="AV311" s="244"/>
    </row>
    <row r="312" spans="1:48" ht="168.75" x14ac:dyDescent="0.25">
      <c r="A312" s="8">
        <v>302</v>
      </c>
      <c r="B312" s="266">
        <v>210</v>
      </c>
      <c r="C312" s="639" t="s">
        <v>1946</v>
      </c>
      <c r="D312" s="640" t="s">
        <v>1947</v>
      </c>
      <c r="E312" s="641">
        <v>2132515774</v>
      </c>
      <c r="F312" s="642">
        <v>6510700000</v>
      </c>
      <c r="G312" s="642" t="s">
        <v>1194</v>
      </c>
      <c r="H312" s="642" t="s">
        <v>3358</v>
      </c>
      <c r="I312" s="643"/>
      <c r="J312" s="644" t="s">
        <v>1195</v>
      </c>
      <c r="K312" s="643" t="s">
        <v>3423</v>
      </c>
      <c r="L312" s="644"/>
      <c r="M312" s="645">
        <v>41162</v>
      </c>
      <c r="N312" s="646"/>
      <c r="O312" s="647" t="s">
        <v>8</v>
      </c>
      <c r="P312" s="648">
        <v>4.7999999999999996E-3</v>
      </c>
      <c r="Q312" s="716">
        <f>R312/48</f>
        <v>1906.9799999999998</v>
      </c>
      <c r="R312" s="716">
        <v>91535.039999999994</v>
      </c>
      <c r="S312" s="716" t="s">
        <v>3298</v>
      </c>
      <c r="T312" s="649"/>
      <c r="U312" s="632">
        <f>R312*W312%</f>
        <v>10068.8544</v>
      </c>
      <c r="V312" s="650">
        <f t="shared" si="70"/>
        <v>10068.8544</v>
      </c>
      <c r="W312" s="650">
        <v>11</v>
      </c>
      <c r="X312" s="334">
        <f t="shared" si="75"/>
        <v>209.76780000000002</v>
      </c>
      <c r="Y312" s="333">
        <f t="shared" si="72"/>
        <v>839.07119999999998</v>
      </c>
      <c r="Z312" s="807"/>
      <c r="AA312" s="711">
        <v>839.07</v>
      </c>
      <c r="AB312" s="711"/>
      <c r="AC312" s="712"/>
      <c r="AD312" s="634"/>
      <c r="AE312" s="633"/>
      <c r="AF312" s="463"/>
      <c r="AG312" s="634"/>
      <c r="AH312" s="635"/>
      <c r="AI312" s="711"/>
      <c r="AJ312" s="776"/>
      <c r="AK312" s="741"/>
      <c r="AL312" s="731"/>
      <c r="AM312" s="340">
        <f t="shared" si="66"/>
        <v>839.07</v>
      </c>
      <c r="AN312" s="340">
        <f t="shared" si="67"/>
        <v>839.07</v>
      </c>
      <c r="AO312" s="468"/>
      <c r="AP312" s="334">
        <f t="shared" si="69"/>
        <v>8.3333214153935931</v>
      </c>
      <c r="AQ312" s="700">
        <v>10030.86</v>
      </c>
      <c r="AR312" s="701">
        <v>99.622654191920773</v>
      </c>
      <c r="AS312" s="166">
        <v>44028</v>
      </c>
      <c r="AT312" s="637" t="s">
        <v>1643</v>
      </c>
      <c r="AU312" s="424" t="s">
        <v>1634</v>
      </c>
    </row>
    <row r="313" spans="1:48" ht="187.5" x14ac:dyDescent="0.25">
      <c r="A313" s="8">
        <v>303</v>
      </c>
      <c r="B313" s="266">
        <v>211</v>
      </c>
      <c r="C313" s="119" t="s">
        <v>1196</v>
      </c>
      <c r="D313" s="120" t="s">
        <v>1197</v>
      </c>
      <c r="E313" s="115">
        <v>1362312358</v>
      </c>
      <c r="F313" s="110">
        <v>6510700000</v>
      </c>
      <c r="G313" s="110" t="s">
        <v>1198</v>
      </c>
      <c r="H313" s="110" t="s">
        <v>1199</v>
      </c>
      <c r="I313" s="111" t="s">
        <v>994</v>
      </c>
      <c r="J313" s="121" t="s">
        <v>1200</v>
      </c>
      <c r="K313" s="111" t="s">
        <v>1561</v>
      </c>
      <c r="L313" s="121" t="s">
        <v>1200</v>
      </c>
      <c r="M313" s="126" t="s">
        <v>1476</v>
      </c>
      <c r="N313" s="121"/>
      <c r="O313" s="109" t="s">
        <v>8</v>
      </c>
      <c r="P313" s="114">
        <v>4.0599999999999997E-2</v>
      </c>
      <c r="Q313" s="107">
        <v>249.58</v>
      </c>
      <c r="R313" s="107">
        <v>101329.48000000001</v>
      </c>
      <c r="S313" s="107" t="s">
        <v>1201</v>
      </c>
      <c r="T313" s="369"/>
      <c r="U313" s="336">
        <f>R313*W313%</f>
        <v>101.32948000000002</v>
      </c>
      <c r="V313" s="333">
        <f t="shared" si="70"/>
        <v>101.32948000000002</v>
      </c>
      <c r="W313" s="333">
        <v>0.1</v>
      </c>
      <c r="X313" s="333">
        <f t="shared" si="75"/>
        <v>0.24958000000000005</v>
      </c>
      <c r="Y313" s="333">
        <f t="shared" si="72"/>
        <v>8.4441233333333354</v>
      </c>
      <c r="Z313" s="807"/>
      <c r="AA313" s="711"/>
      <c r="AB313" s="340"/>
      <c r="AC313" s="406"/>
      <c r="AD313" s="459"/>
      <c r="AE313" s="421"/>
      <c r="AF313" s="463"/>
      <c r="AG313" s="459"/>
      <c r="AH313" s="503"/>
      <c r="AI313" s="340"/>
      <c r="AJ313" s="740"/>
      <c r="AK313" s="741"/>
      <c r="AL313" s="732"/>
      <c r="AM313" s="340">
        <f t="shared" si="66"/>
        <v>0</v>
      </c>
      <c r="AN313" s="340">
        <f t="shared" si="67"/>
        <v>0</v>
      </c>
      <c r="AO313" s="468"/>
      <c r="AP313" s="333">
        <f t="shared" si="69"/>
        <v>0</v>
      </c>
      <c r="AQ313" s="521">
        <v>101.33</v>
      </c>
      <c r="AR313" s="416">
        <v>100.00051317740896</v>
      </c>
      <c r="AS313" s="164" t="s">
        <v>2576</v>
      </c>
      <c r="AT313" s="118" t="s">
        <v>1791</v>
      </c>
      <c r="AU313" s="113" t="s">
        <v>1824</v>
      </c>
    </row>
    <row r="314" spans="1:48" ht="150" x14ac:dyDescent="0.25">
      <c r="A314" s="8">
        <v>304</v>
      </c>
      <c r="B314" s="266">
        <v>212</v>
      </c>
      <c r="C314" s="119" t="s">
        <v>2047</v>
      </c>
      <c r="D314" s="120" t="s">
        <v>2046</v>
      </c>
      <c r="E314" s="115">
        <v>2900616141</v>
      </c>
      <c r="F314" s="110">
        <v>6510700000</v>
      </c>
      <c r="G314" s="110" t="s">
        <v>1202</v>
      </c>
      <c r="H314" s="110" t="s">
        <v>1203</v>
      </c>
      <c r="I314" s="111" t="s">
        <v>2048</v>
      </c>
      <c r="J314" s="121" t="s">
        <v>2042</v>
      </c>
      <c r="K314" s="111" t="s">
        <v>2043</v>
      </c>
      <c r="L314" s="121" t="s">
        <v>2044</v>
      </c>
      <c r="M314" s="126">
        <v>42726</v>
      </c>
      <c r="N314" s="121"/>
      <c r="O314" s="109" t="s">
        <v>8</v>
      </c>
      <c r="P314" s="114">
        <v>5.8999999999999999E-3</v>
      </c>
      <c r="Q314" s="107">
        <f>R314/59</f>
        <v>931.18999999999994</v>
      </c>
      <c r="R314" s="107">
        <v>54940.21</v>
      </c>
      <c r="S314" s="299" t="s">
        <v>2045</v>
      </c>
      <c r="T314" s="376"/>
      <c r="U314" s="344">
        <f>R314*W314%</f>
        <v>6043.4231</v>
      </c>
      <c r="V314" s="344">
        <f t="shared" si="70"/>
        <v>6043.4231</v>
      </c>
      <c r="W314" s="344">
        <v>11</v>
      </c>
      <c r="X314" s="344">
        <f t="shared" si="75"/>
        <v>102.43089999999999</v>
      </c>
      <c r="Y314" s="344">
        <f t="shared" si="72"/>
        <v>503.61859166666665</v>
      </c>
      <c r="Z314" s="840"/>
      <c r="AA314" s="529">
        <v>504</v>
      </c>
      <c r="AB314" s="364">
        <v>504</v>
      </c>
      <c r="AC314" s="407">
        <v>504</v>
      </c>
      <c r="AD314" s="483"/>
      <c r="AE314" s="422"/>
      <c r="AF314" s="462"/>
      <c r="AG314" s="483"/>
      <c r="AH314" s="502"/>
      <c r="AI314" s="364"/>
      <c r="AJ314" s="751"/>
      <c r="AK314" s="529"/>
      <c r="AL314" s="756"/>
      <c r="AM314" s="340">
        <f t="shared" si="66"/>
        <v>1512</v>
      </c>
      <c r="AN314" s="340">
        <f t="shared" si="67"/>
        <v>1512</v>
      </c>
      <c r="AO314" s="468"/>
      <c r="AP314" s="344">
        <f t="shared" si="69"/>
        <v>25.018933392235933</v>
      </c>
      <c r="AQ314" s="521">
        <v>5040</v>
      </c>
      <c r="AR314" s="523">
        <v>83.396444640786441</v>
      </c>
      <c r="AS314" s="164">
        <v>43821</v>
      </c>
      <c r="AT314" s="118" t="s">
        <v>1752</v>
      </c>
      <c r="AU314" s="113" t="s">
        <v>1634</v>
      </c>
      <c r="AV314" s="1"/>
    </row>
    <row r="315" spans="1:48" ht="168.75" x14ac:dyDescent="0.25">
      <c r="A315" s="8">
        <v>305</v>
      </c>
      <c r="B315" s="266">
        <v>213</v>
      </c>
      <c r="C315" s="96" t="s">
        <v>2807</v>
      </c>
      <c r="D315" s="10" t="s">
        <v>1204</v>
      </c>
      <c r="E315" s="9"/>
      <c r="F315" s="19">
        <v>6510700000</v>
      </c>
      <c r="G315" s="19"/>
      <c r="H315" s="19" t="s">
        <v>1204</v>
      </c>
      <c r="I315" s="75"/>
      <c r="J315" s="10" t="s">
        <v>1205</v>
      </c>
      <c r="K315" s="13"/>
      <c r="L315" s="10"/>
      <c r="M315" s="20"/>
      <c r="N315" s="10"/>
      <c r="O315" s="10" t="s">
        <v>8</v>
      </c>
      <c r="P315" s="27">
        <v>2.53E-2</v>
      </c>
      <c r="Q315" s="12"/>
      <c r="R315" s="12">
        <v>0</v>
      </c>
      <c r="S315" s="9"/>
      <c r="T315" s="368"/>
      <c r="U315" s="336">
        <f>R315*W315%</f>
        <v>0</v>
      </c>
      <c r="V315" s="333">
        <f t="shared" si="70"/>
        <v>0</v>
      </c>
      <c r="W315" s="333">
        <v>0.1</v>
      </c>
      <c r="X315" s="333">
        <f t="shared" si="75"/>
        <v>0</v>
      </c>
      <c r="Y315" s="333">
        <f t="shared" si="72"/>
        <v>0</v>
      </c>
      <c r="Z315" s="807"/>
      <c r="AA315" s="711"/>
      <c r="AB315" s="340"/>
      <c r="AC315" s="406"/>
      <c r="AD315" s="459"/>
      <c r="AE315" s="421"/>
      <c r="AF315" s="463"/>
      <c r="AG315" s="459"/>
      <c r="AH315" s="503"/>
      <c r="AI315" s="340"/>
      <c r="AJ315" s="740"/>
      <c r="AK315" s="741"/>
      <c r="AL315" s="732"/>
      <c r="AM315" s="340">
        <f t="shared" si="66"/>
        <v>0</v>
      </c>
      <c r="AN315" s="340">
        <f t="shared" si="67"/>
        <v>0</v>
      </c>
      <c r="AO315" s="468"/>
      <c r="AP315" s="333" t="e">
        <f t="shared" si="69"/>
        <v>#DIV/0!</v>
      </c>
      <c r="AQ315" s="192">
        <v>0</v>
      </c>
      <c r="AR315" s="416" t="e">
        <v>#DIV/0!</v>
      </c>
      <c r="AS315" s="140" t="s">
        <v>2613</v>
      </c>
      <c r="AT315" s="11" t="s">
        <v>1774</v>
      </c>
      <c r="AU315" s="13"/>
    </row>
    <row r="316" spans="1:48" ht="150" x14ac:dyDescent="0.25">
      <c r="A316" s="8">
        <v>306</v>
      </c>
      <c r="B316" s="266">
        <v>214</v>
      </c>
      <c r="C316" s="264" t="s">
        <v>2127</v>
      </c>
      <c r="D316" s="265" t="s">
        <v>1206</v>
      </c>
      <c r="E316" s="266" t="s">
        <v>1562</v>
      </c>
      <c r="F316" s="270">
        <v>6510700000</v>
      </c>
      <c r="G316" s="270" t="s">
        <v>1207</v>
      </c>
      <c r="H316" s="270" t="s">
        <v>1208</v>
      </c>
      <c r="I316" s="271" t="s">
        <v>1993</v>
      </c>
      <c r="J316" s="265" t="s">
        <v>1209</v>
      </c>
      <c r="K316" s="267" t="s">
        <v>1210</v>
      </c>
      <c r="L316" s="265" t="s">
        <v>1211</v>
      </c>
      <c r="M316" s="283" t="s">
        <v>1212</v>
      </c>
      <c r="N316" s="265"/>
      <c r="O316" s="265" t="s">
        <v>8</v>
      </c>
      <c r="P316" s="268">
        <v>6.0000000000000001E-3</v>
      </c>
      <c r="Q316" s="269">
        <f>R316/60</f>
        <v>641.66</v>
      </c>
      <c r="R316" s="269">
        <v>38499.599999999999</v>
      </c>
      <c r="S316" s="266" t="s">
        <v>1213</v>
      </c>
      <c r="T316" s="374" t="s">
        <v>2128</v>
      </c>
      <c r="U316" s="349">
        <v>6375.36</v>
      </c>
      <c r="V316" s="350">
        <v>6375.36</v>
      </c>
      <c r="W316" s="350">
        <v>16.559999999999999</v>
      </c>
      <c r="X316" s="350">
        <f t="shared" si="75"/>
        <v>106.256</v>
      </c>
      <c r="Y316" s="333">
        <f t="shared" si="72"/>
        <v>531.28</v>
      </c>
      <c r="Z316" s="807"/>
      <c r="AA316" s="711"/>
      <c r="AB316" s="340"/>
      <c r="AC316" s="406"/>
      <c r="AD316" s="459"/>
      <c r="AE316" s="421"/>
      <c r="AF316" s="463"/>
      <c r="AG316" s="459"/>
      <c r="AH316" s="503"/>
      <c r="AI316" s="340"/>
      <c r="AJ316" s="740"/>
      <c r="AK316" s="741"/>
      <c r="AL316" s="732"/>
      <c r="AM316" s="340">
        <f t="shared" si="66"/>
        <v>0</v>
      </c>
      <c r="AN316" s="340">
        <f t="shared" si="67"/>
        <v>0</v>
      </c>
      <c r="AO316" s="468"/>
      <c r="AP316" s="333">
        <f t="shared" si="69"/>
        <v>0</v>
      </c>
      <c r="AQ316" s="690">
        <v>6375.36</v>
      </c>
      <c r="AR316" s="695">
        <v>100</v>
      </c>
      <c r="AS316" s="310">
        <v>44544</v>
      </c>
      <c r="AT316" s="377" t="s">
        <v>1727</v>
      </c>
      <c r="AU316" s="267" t="s">
        <v>1634</v>
      </c>
    </row>
    <row r="317" spans="1:48" ht="225" x14ac:dyDescent="0.25">
      <c r="A317" s="8">
        <v>307</v>
      </c>
      <c r="B317" s="266">
        <v>215</v>
      </c>
      <c r="C317" s="119" t="s">
        <v>3258</v>
      </c>
      <c r="D317" s="120" t="s">
        <v>3260</v>
      </c>
      <c r="E317" s="115" t="s">
        <v>3259</v>
      </c>
      <c r="F317" s="110">
        <v>6510700000</v>
      </c>
      <c r="G317" s="110" t="s">
        <v>3261</v>
      </c>
      <c r="H317" s="110" t="s">
        <v>3262</v>
      </c>
      <c r="I317" s="111" t="s">
        <v>3263</v>
      </c>
      <c r="J317" s="109" t="s">
        <v>3264</v>
      </c>
      <c r="K317" s="113" t="s">
        <v>3265</v>
      </c>
      <c r="L317" s="109" t="s">
        <v>3266</v>
      </c>
      <c r="M317" s="112">
        <v>43811</v>
      </c>
      <c r="N317" s="109"/>
      <c r="O317" s="109" t="s">
        <v>8</v>
      </c>
      <c r="P317" s="147">
        <v>2.0299999999999999E-2</v>
      </c>
      <c r="Q317" s="241">
        <f>R317/203</f>
        <v>260.11</v>
      </c>
      <c r="R317" s="107">
        <v>52802.33</v>
      </c>
      <c r="S317" s="115" t="s">
        <v>3267</v>
      </c>
      <c r="T317" s="369"/>
      <c r="U317" s="344">
        <f>R317*W317%</f>
        <v>264.01165000000003</v>
      </c>
      <c r="V317" s="345">
        <f>U317</f>
        <v>264.01165000000003</v>
      </c>
      <c r="W317" s="345">
        <v>0.5</v>
      </c>
      <c r="X317" s="345">
        <f>U317/(P317*10000)</f>
        <v>1.3005500000000001</v>
      </c>
      <c r="Y317" s="345">
        <f t="shared" si="72"/>
        <v>22.000970833333337</v>
      </c>
      <c r="Z317" s="807"/>
      <c r="AA317" s="852"/>
      <c r="AB317" s="359"/>
      <c r="AC317" s="407"/>
      <c r="AD317" s="483"/>
      <c r="AE317" s="422"/>
      <c r="AF317" s="462"/>
      <c r="AG317" s="483"/>
      <c r="AH317" s="502"/>
      <c r="AI317" s="359"/>
      <c r="AJ317" s="751"/>
      <c r="AK317" s="529"/>
      <c r="AL317" s="752"/>
      <c r="AM317" s="340">
        <f t="shared" si="66"/>
        <v>0</v>
      </c>
      <c r="AN317" s="340">
        <f t="shared" si="67"/>
        <v>0</v>
      </c>
      <c r="AO317" s="468"/>
      <c r="AP317" s="345">
        <f t="shared" si="69"/>
        <v>0</v>
      </c>
      <c r="AQ317" s="521">
        <v>0</v>
      </c>
      <c r="AR317" s="523">
        <v>0</v>
      </c>
      <c r="AS317" s="164" t="s">
        <v>3268</v>
      </c>
      <c r="AT317" s="125" t="s">
        <v>3269</v>
      </c>
      <c r="AU317" s="113" t="s">
        <v>1768</v>
      </c>
      <c r="AV317" s="229">
        <v>501812977</v>
      </c>
    </row>
    <row r="318" spans="1:48" ht="168.75" x14ac:dyDescent="0.25">
      <c r="A318" s="8">
        <v>308</v>
      </c>
      <c r="B318" s="266">
        <v>216</v>
      </c>
      <c r="C318" s="727" t="s">
        <v>3399</v>
      </c>
      <c r="D318" s="120" t="s">
        <v>3400</v>
      </c>
      <c r="E318" s="115" t="s">
        <v>3401</v>
      </c>
      <c r="F318" s="110">
        <v>6510700000</v>
      </c>
      <c r="G318" s="110" t="s">
        <v>1214</v>
      </c>
      <c r="H318" s="110" t="s">
        <v>3402</v>
      </c>
      <c r="I318" s="111" t="s">
        <v>1215</v>
      </c>
      <c r="J318" s="113" t="s">
        <v>3403</v>
      </c>
      <c r="K318" s="113" t="s">
        <v>3404</v>
      </c>
      <c r="L318" s="113" t="s">
        <v>1216</v>
      </c>
      <c r="M318" s="112" t="s">
        <v>1563</v>
      </c>
      <c r="N318" s="113" t="s">
        <v>3546</v>
      </c>
      <c r="O318" s="109" t="s">
        <v>8</v>
      </c>
      <c r="P318" s="147">
        <v>5.2499999999999998E-2</v>
      </c>
      <c r="Q318" s="241">
        <v>1615.24</v>
      </c>
      <c r="R318" s="107">
        <v>848001</v>
      </c>
      <c r="S318" s="115" t="s">
        <v>1217</v>
      </c>
      <c r="T318" s="369"/>
      <c r="U318" s="344">
        <f>R318*W318%</f>
        <v>8904.0105000000003</v>
      </c>
      <c r="V318" s="345">
        <f>U318</f>
        <v>8904.0105000000003</v>
      </c>
      <c r="W318" s="816">
        <v>1.05</v>
      </c>
      <c r="X318" s="345">
        <f>V318/(P318*10000)</f>
        <v>16.96002</v>
      </c>
      <c r="Y318" s="345">
        <f t="shared" si="72"/>
        <v>742.00087500000006</v>
      </c>
      <c r="Z318" s="807"/>
      <c r="AA318" s="852"/>
      <c r="AB318" s="359">
        <v>2500</v>
      </c>
      <c r="AC318" s="407">
        <v>2500</v>
      </c>
      <c r="AD318" s="459">
        <v>2420</v>
      </c>
      <c r="AE318" s="422"/>
      <c r="AF318" s="462"/>
      <c r="AG318" s="483"/>
      <c r="AH318" s="502"/>
      <c r="AI318" s="359"/>
      <c r="AJ318" s="751"/>
      <c r="AK318" s="529"/>
      <c r="AL318" s="752"/>
      <c r="AM318" s="340">
        <f t="shared" si="66"/>
        <v>7420</v>
      </c>
      <c r="AN318" s="340">
        <f t="shared" si="67"/>
        <v>7420</v>
      </c>
      <c r="AO318" s="468"/>
      <c r="AP318" s="345">
        <f t="shared" si="69"/>
        <v>83.333235063008971</v>
      </c>
      <c r="AQ318" s="521">
        <v>0</v>
      </c>
      <c r="AR318" s="523">
        <v>0</v>
      </c>
      <c r="AS318" s="728">
        <v>45742</v>
      </c>
      <c r="AT318" s="125" t="s">
        <v>1825</v>
      </c>
      <c r="AU318" s="113" t="s">
        <v>1634</v>
      </c>
    </row>
    <row r="319" spans="1:48" ht="206.25" x14ac:dyDescent="0.25">
      <c r="A319" s="8">
        <v>309</v>
      </c>
      <c r="B319" s="266">
        <v>217</v>
      </c>
      <c r="C319" s="108" t="s">
        <v>2466</v>
      </c>
      <c r="D319" s="109" t="s">
        <v>2467</v>
      </c>
      <c r="E319" s="109">
        <v>2940008072</v>
      </c>
      <c r="F319" s="110">
        <v>6510700000</v>
      </c>
      <c r="G319" s="110" t="s">
        <v>297</v>
      </c>
      <c r="H319" s="110" t="s">
        <v>2468</v>
      </c>
      <c r="I319" s="111" t="s">
        <v>2469</v>
      </c>
      <c r="J319" s="112" t="s">
        <v>2470</v>
      </c>
      <c r="K319" s="113" t="s">
        <v>2471</v>
      </c>
      <c r="L319" s="112" t="s">
        <v>2472</v>
      </c>
      <c r="M319" s="112">
        <v>43630</v>
      </c>
      <c r="N319" s="112"/>
      <c r="O319" s="109" t="s">
        <v>8</v>
      </c>
      <c r="P319" s="122">
        <v>0.17399999999999999</v>
      </c>
      <c r="Q319" s="123">
        <f>R319/1740</f>
        <v>372.47999999999996</v>
      </c>
      <c r="R319" s="107">
        <f>648115.2</f>
        <v>648115.19999999995</v>
      </c>
      <c r="S319" s="107" t="s">
        <v>2473</v>
      </c>
      <c r="T319" s="369"/>
      <c r="U319" s="344">
        <f>R319*W319%</f>
        <v>972.17279999999994</v>
      </c>
      <c r="V319" s="344">
        <f>U319</f>
        <v>972.17279999999994</v>
      </c>
      <c r="W319" s="344">
        <v>0.15</v>
      </c>
      <c r="X319" s="344">
        <f>U319/(P319*10000)</f>
        <v>0.55871999999999999</v>
      </c>
      <c r="Y319" s="344">
        <f t="shared" si="72"/>
        <v>81.014399999999995</v>
      </c>
      <c r="Z319" s="840"/>
      <c r="AA319" s="529"/>
      <c r="AB319" s="364"/>
      <c r="AC319" s="407"/>
      <c r="AD319" s="483"/>
      <c r="AE319" s="364"/>
      <c r="AF319" s="462"/>
      <c r="AG319" s="483"/>
      <c r="AH319" s="502"/>
      <c r="AI319" s="364"/>
      <c r="AJ319" s="751"/>
      <c r="AK319" s="529"/>
      <c r="AL319" s="756"/>
      <c r="AM319" s="340">
        <f t="shared" si="66"/>
        <v>0</v>
      </c>
      <c r="AN319" s="340">
        <f t="shared" si="67"/>
        <v>0</v>
      </c>
      <c r="AO319" s="468"/>
      <c r="AP319" s="344">
        <f t="shared" si="69"/>
        <v>0</v>
      </c>
      <c r="AQ319" s="521">
        <v>535.36</v>
      </c>
      <c r="AR319" s="685">
        <v>100.63725398048761</v>
      </c>
      <c r="AS319" s="164" t="s">
        <v>2474</v>
      </c>
      <c r="AT319" s="126" t="s">
        <v>1672</v>
      </c>
      <c r="AU319" s="113" t="s">
        <v>2475</v>
      </c>
    </row>
    <row r="320" spans="1:48" ht="150" x14ac:dyDescent="0.25">
      <c r="A320" s="8">
        <v>310</v>
      </c>
      <c r="B320" s="266">
        <v>218</v>
      </c>
      <c r="C320" s="570" t="s">
        <v>2413</v>
      </c>
      <c r="D320" s="571" t="s">
        <v>2414</v>
      </c>
      <c r="E320" s="568">
        <v>2461716289</v>
      </c>
      <c r="F320" s="572">
        <v>6510700000</v>
      </c>
      <c r="G320" s="572" t="s">
        <v>2415</v>
      </c>
      <c r="H320" s="572" t="s">
        <v>2416</v>
      </c>
      <c r="I320" s="599" t="s">
        <v>2417</v>
      </c>
      <c r="J320" s="586" t="s">
        <v>2418</v>
      </c>
      <c r="K320" s="586" t="s">
        <v>2419</v>
      </c>
      <c r="L320" s="586" t="s">
        <v>2420</v>
      </c>
      <c r="M320" s="608" t="s">
        <v>2421</v>
      </c>
      <c r="N320" s="586"/>
      <c r="O320" s="577" t="s">
        <v>8</v>
      </c>
      <c r="P320" s="604">
        <v>2.8000000000000001E-2</v>
      </c>
      <c r="Q320" s="664">
        <f>R320/280</f>
        <v>2043.23</v>
      </c>
      <c r="R320" s="579">
        <v>572104.4</v>
      </c>
      <c r="S320" s="568" t="s">
        <v>2422</v>
      </c>
      <c r="T320" s="580">
        <v>47141.39</v>
      </c>
      <c r="U320" s="581">
        <v>47141.39</v>
      </c>
      <c r="V320" s="582">
        <v>47141.39</v>
      </c>
      <c r="W320" s="582">
        <v>8.24</v>
      </c>
      <c r="X320" s="582">
        <f>V320/(P320*10000)</f>
        <v>168.36210714285713</v>
      </c>
      <c r="Y320" s="582">
        <f t="shared" si="72"/>
        <v>3928.4491666666668</v>
      </c>
      <c r="Z320" s="807">
        <v>3928.45</v>
      </c>
      <c r="AA320" s="754">
        <v>3928.45</v>
      </c>
      <c r="AB320" s="610">
        <v>3928.45</v>
      </c>
      <c r="AC320" s="611"/>
      <c r="AD320" s="1115">
        <v>3928.45</v>
      </c>
      <c r="AE320" s="583"/>
      <c r="AF320" s="593"/>
      <c r="AG320" s="594"/>
      <c r="AH320" s="595"/>
      <c r="AI320" s="610"/>
      <c r="AJ320" s="790"/>
      <c r="AK320" s="597"/>
      <c r="AL320" s="612"/>
      <c r="AM320" s="340">
        <f t="shared" si="66"/>
        <v>15713.8</v>
      </c>
      <c r="AN320" s="340">
        <f t="shared" si="67"/>
        <v>11785.349999999999</v>
      </c>
      <c r="AO320" s="468"/>
      <c r="AP320" s="582">
        <f t="shared" si="69"/>
        <v>33.333340404260461</v>
      </c>
      <c r="AQ320" s="687">
        <v>34570.469999999994</v>
      </c>
      <c r="AR320" s="688">
        <v>128.78088957812815</v>
      </c>
      <c r="AS320" s="584">
        <v>45441</v>
      </c>
      <c r="AT320" s="665" t="s">
        <v>1825</v>
      </c>
      <c r="AU320" s="586" t="s">
        <v>1634</v>
      </c>
    </row>
    <row r="321" spans="1:48" ht="156" x14ac:dyDescent="0.25">
      <c r="A321" s="8">
        <v>311</v>
      </c>
      <c r="B321" s="266">
        <v>219</v>
      </c>
      <c r="C321" s="315" t="s">
        <v>1218</v>
      </c>
      <c r="D321" s="316" t="s">
        <v>1219</v>
      </c>
      <c r="E321" s="266" t="s">
        <v>1564</v>
      </c>
      <c r="F321" s="266">
        <v>6510700000</v>
      </c>
      <c r="G321" s="266" t="s">
        <v>1220</v>
      </c>
      <c r="H321" s="266" t="s">
        <v>1221</v>
      </c>
      <c r="I321" s="267" t="s">
        <v>1994</v>
      </c>
      <c r="J321" s="267" t="s">
        <v>1222</v>
      </c>
      <c r="K321" s="267" t="s">
        <v>1565</v>
      </c>
      <c r="L321" s="267" t="s">
        <v>1223</v>
      </c>
      <c r="M321" s="283" t="s">
        <v>1224</v>
      </c>
      <c r="N321" s="557" t="s">
        <v>3253</v>
      </c>
      <c r="O321" s="265" t="s">
        <v>8</v>
      </c>
      <c r="P321" s="268">
        <v>1.6299999999999999E-2</v>
      </c>
      <c r="Q321" s="276">
        <v>1716.69</v>
      </c>
      <c r="R321" s="269">
        <v>279820.46999999997</v>
      </c>
      <c r="S321" s="266" t="s">
        <v>1225</v>
      </c>
      <c r="T321" s="374">
        <v>24379.34</v>
      </c>
      <c r="U321" s="349">
        <f>R321*W321%</f>
        <v>8394.6140999999989</v>
      </c>
      <c r="V321" s="349">
        <f>U321</f>
        <v>8394.6140999999989</v>
      </c>
      <c r="W321" s="349">
        <v>3</v>
      </c>
      <c r="X321" s="350">
        <f>V321/(P321*10000)</f>
        <v>51.500700000000002</v>
      </c>
      <c r="Y321" s="350">
        <f t="shared" si="72"/>
        <v>699.55117499999994</v>
      </c>
      <c r="Z321" s="807">
        <f>7300+1500</f>
        <v>8800</v>
      </c>
      <c r="AA321" s="855"/>
      <c r="AB321" s="358">
        <v>1545</v>
      </c>
      <c r="AC321" s="408"/>
      <c r="AD321" s="486"/>
      <c r="AE321" s="437"/>
      <c r="AF321" s="469"/>
      <c r="AG321" s="486"/>
      <c r="AH321" s="504"/>
      <c r="AI321" s="358"/>
      <c r="AJ321" s="560"/>
      <c r="AK321" s="475"/>
      <c r="AL321" s="766"/>
      <c r="AM321" s="340">
        <f t="shared" si="66"/>
        <v>10345</v>
      </c>
      <c r="AN321" s="340">
        <f t="shared" si="67"/>
        <v>1545</v>
      </c>
      <c r="AO321" s="468"/>
      <c r="AP321" s="350">
        <f t="shared" si="69"/>
        <v>123.23377676169774</v>
      </c>
      <c r="AQ321" s="690">
        <v>5000</v>
      </c>
      <c r="AR321" s="695">
        <v>59.561999401497211</v>
      </c>
      <c r="AS321" s="310">
        <v>44756</v>
      </c>
      <c r="AT321" s="314" t="s">
        <v>1759</v>
      </c>
      <c r="AU321" s="267" t="s">
        <v>1634</v>
      </c>
    </row>
    <row r="322" spans="1:48" ht="150" x14ac:dyDescent="0.25">
      <c r="A322" s="8">
        <v>312</v>
      </c>
      <c r="B322" s="266">
        <v>220</v>
      </c>
      <c r="C322" s="119" t="s">
        <v>2408</v>
      </c>
      <c r="D322" s="330" t="s">
        <v>1910</v>
      </c>
      <c r="E322" s="115">
        <v>2495020462</v>
      </c>
      <c r="F322" s="110">
        <v>6510700000</v>
      </c>
      <c r="G322" s="115" t="s">
        <v>1911</v>
      </c>
      <c r="H322" s="115" t="s">
        <v>1912</v>
      </c>
      <c r="I322" s="113"/>
      <c r="J322" s="113" t="s">
        <v>1913</v>
      </c>
      <c r="K322" s="113"/>
      <c r="L322" s="113" t="s">
        <v>1914</v>
      </c>
      <c r="M322" s="112" t="s">
        <v>1915</v>
      </c>
      <c r="N322" s="113" t="s">
        <v>1916</v>
      </c>
      <c r="O322" s="109" t="s">
        <v>8</v>
      </c>
      <c r="P322" s="147">
        <v>2.3999999999999998E-3</v>
      </c>
      <c r="Q322" s="241">
        <v>1163.98</v>
      </c>
      <c r="R322" s="107">
        <v>27935.52</v>
      </c>
      <c r="S322" s="115" t="s">
        <v>1917</v>
      </c>
      <c r="T322" s="369"/>
      <c r="U322" s="353">
        <f>R322*W322%</f>
        <v>3072.9072000000001</v>
      </c>
      <c r="V322" s="362">
        <v>3072.91</v>
      </c>
      <c r="W322" s="353">
        <v>11</v>
      </c>
      <c r="X322" s="333">
        <f>V322/(P322*10000)</f>
        <v>128.03791666666669</v>
      </c>
      <c r="Y322" s="333">
        <f t="shared" si="72"/>
        <v>256.07583333333332</v>
      </c>
      <c r="Z322" s="807"/>
      <c r="AA322" s="852">
        <v>256.08</v>
      </c>
      <c r="AB322" s="359">
        <v>256.08</v>
      </c>
      <c r="AC322" s="407">
        <v>256.08</v>
      </c>
      <c r="AD322" s="483">
        <v>256.08</v>
      </c>
      <c r="AE322" s="422"/>
      <c r="AF322" s="462"/>
      <c r="AG322" s="483"/>
      <c r="AH322" s="502"/>
      <c r="AI322" s="359"/>
      <c r="AJ322" s="751"/>
      <c r="AK322" s="529"/>
      <c r="AL322" s="752"/>
      <c r="AM322" s="340">
        <f t="shared" si="66"/>
        <v>1024.32</v>
      </c>
      <c r="AN322" s="340">
        <f t="shared" si="67"/>
        <v>1024.32</v>
      </c>
      <c r="AO322" s="468"/>
      <c r="AP322" s="333">
        <f t="shared" si="69"/>
        <v>33.333875707391364</v>
      </c>
      <c r="AQ322" s="521">
        <v>2834.3199999999997</v>
      </c>
      <c r="AR322" s="523">
        <v>92.235698409650794</v>
      </c>
      <c r="AS322" s="164" t="s">
        <v>2614</v>
      </c>
      <c r="AT322" s="118" t="s">
        <v>1752</v>
      </c>
      <c r="AU322" s="113" t="s">
        <v>1634</v>
      </c>
    </row>
    <row r="323" spans="1:48" ht="206.25" x14ac:dyDescent="0.25">
      <c r="A323" s="8">
        <v>313</v>
      </c>
      <c r="B323" s="266">
        <v>221</v>
      </c>
      <c r="C323" s="277" t="s">
        <v>2429</v>
      </c>
      <c r="D323" s="316" t="s">
        <v>2430</v>
      </c>
      <c r="E323" s="266">
        <v>1729301739</v>
      </c>
      <c r="F323" s="270">
        <v>6510700000</v>
      </c>
      <c r="G323" s="266" t="s">
        <v>2431</v>
      </c>
      <c r="H323" s="266" t="s">
        <v>2432</v>
      </c>
      <c r="I323" s="267" t="s">
        <v>2433</v>
      </c>
      <c r="J323" s="267" t="s">
        <v>2434</v>
      </c>
      <c r="K323" s="267" t="s">
        <v>2419</v>
      </c>
      <c r="L323" s="267" t="s">
        <v>2435</v>
      </c>
      <c r="M323" s="283">
        <v>43626</v>
      </c>
      <c r="N323" s="267"/>
      <c r="O323" s="265" t="s">
        <v>8</v>
      </c>
      <c r="P323" s="275">
        <v>9.1999999999999998E-3</v>
      </c>
      <c r="Q323" s="241">
        <f>R323/92</f>
        <v>1836.14</v>
      </c>
      <c r="R323" s="107">
        <v>168924.88</v>
      </c>
      <c r="S323" s="115" t="s">
        <v>2436</v>
      </c>
      <c r="T323" s="369">
        <v>17990.47</v>
      </c>
      <c r="U323" s="344">
        <v>17990.47</v>
      </c>
      <c r="V323" s="344">
        <f>U323</f>
        <v>17990.47</v>
      </c>
      <c r="W323" s="344">
        <v>10.65</v>
      </c>
      <c r="X323" s="332">
        <f>U323/(P323*10000)</f>
        <v>195.54858695652175</v>
      </c>
      <c r="Y323" s="332">
        <f t="shared" si="72"/>
        <v>1499.2058333333334</v>
      </c>
      <c r="Z323" s="840"/>
      <c r="AA323" s="529"/>
      <c r="AB323" s="364"/>
      <c r="AC323" s="407"/>
      <c r="AD323" s="458"/>
      <c r="AE323" s="364"/>
      <c r="AF323" s="462"/>
      <c r="AG323" s="483"/>
      <c r="AH323" s="502"/>
      <c r="AI323" s="364"/>
      <c r="AJ323" s="751"/>
      <c r="AK323" s="529"/>
      <c r="AL323" s="756"/>
      <c r="AM323" s="340">
        <f t="shared" si="66"/>
        <v>0</v>
      </c>
      <c r="AN323" s="340">
        <f t="shared" si="67"/>
        <v>0</v>
      </c>
      <c r="AO323" s="468"/>
      <c r="AP323" s="332">
        <f t="shared" si="69"/>
        <v>0</v>
      </c>
      <c r="AQ323" s="521">
        <v>13200.779999999999</v>
      </c>
      <c r="AR323" s="523">
        <v>131.42022019550589</v>
      </c>
      <c r="AS323" s="164">
        <v>45441</v>
      </c>
      <c r="AT323" s="118" t="s">
        <v>3287</v>
      </c>
      <c r="AU323" s="113" t="s">
        <v>1634</v>
      </c>
    </row>
    <row r="324" spans="1:48" ht="168.75" x14ac:dyDescent="0.25">
      <c r="A324" s="8">
        <v>314</v>
      </c>
      <c r="B324" s="266">
        <v>222</v>
      </c>
      <c r="C324" s="108" t="s">
        <v>2084</v>
      </c>
      <c r="D324" s="109" t="s">
        <v>2085</v>
      </c>
      <c r="E324" s="115">
        <v>2214801788</v>
      </c>
      <c r="F324" s="115">
        <v>6510700000</v>
      </c>
      <c r="G324" s="115" t="s">
        <v>1226</v>
      </c>
      <c r="H324" s="115" t="s">
        <v>2086</v>
      </c>
      <c r="I324" s="113" t="s">
        <v>786</v>
      </c>
      <c r="J324" s="113" t="s">
        <v>2087</v>
      </c>
      <c r="K324" s="113"/>
      <c r="L324" s="113" t="s">
        <v>2088</v>
      </c>
      <c r="M324" s="112" t="s">
        <v>2089</v>
      </c>
      <c r="N324" s="113" t="s">
        <v>2280</v>
      </c>
      <c r="O324" s="109" t="s">
        <v>8</v>
      </c>
      <c r="P324" s="114">
        <v>2E-3</v>
      </c>
      <c r="Q324" s="107">
        <f>R324/20</f>
        <v>853.15</v>
      </c>
      <c r="R324" s="107">
        <v>17063</v>
      </c>
      <c r="S324" s="115" t="s">
        <v>2090</v>
      </c>
      <c r="T324" s="369"/>
      <c r="U324" s="344">
        <f>R324*W324%</f>
        <v>1023.78</v>
      </c>
      <c r="V324" s="355">
        <v>1023.79</v>
      </c>
      <c r="W324" s="344">
        <v>6</v>
      </c>
      <c r="X324" s="344">
        <f t="shared" ref="X324:X343" si="76">V324/(P324*10000)</f>
        <v>51.189499999999995</v>
      </c>
      <c r="Y324" s="344">
        <f t="shared" si="72"/>
        <v>85.31583333333333</v>
      </c>
      <c r="Z324" s="840">
        <v>341.28</v>
      </c>
      <c r="AA324" s="529"/>
      <c r="AB324" s="364"/>
      <c r="AC324" s="407"/>
      <c r="AD324" s="483"/>
      <c r="AE324" s="422"/>
      <c r="AF324" s="462"/>
      <c r="AG324" s="483"/>
      <c r="AH324" s="502"/>
      <c r="AI324" s="364"/>
      <c r="AJ324" s="751"/>
      <c r="AK324" s="529"/>
      <c r="AL324" s="756"/>
      <c r="AM324" s="340">
        <f t="shared" si="66"/>
        <v>341.28</v>
      </c>
      <c r="AN324" s="340">
        <f t="shared" si="67"/>
        <v>0</v>
      </c>
      <c r="AO324" s="468"/>
      <c r="AP324" s="344">
        <f t="shared" si="69"/>
        <v>33.33496127135448</v>
      </c>
      <c r="AQ324" s="521">
        <v>938.42</v>
      </c>
      <c r="AR324" s="523">
        <v>91.661375868097949</v>
      </c>
      <c r="AS324" s="164" t="s">
        <v>2593</v>
      </c>
      <c r="AT324" s="125" t="s">
        <v>1780</v>
      </c>
      <c r="AU324" s="113" t="s">
        <v>1634</v>
      </c>
    </row>
    <row r="325" spans="1:48" ht="225" x14ac:dyDescent="0.25">
      <c r="A325" s="8">
        <v>315</v>
      </c>
      <c r="B325" s="266">
        <v>223</v>
      </c>
      <c r="C325" s="326" t="s">
        <v>2951</v>
      </c>
      <c r="D325" s="114" t="s">
        <v>1411</v>
      </c>
      <c r="E325" s="109" t="s">
        <v>1412</v>
      </c>
      <c r="F325" s="110">
        <v>6510700000</v>
      </c>
      <c r="G325" s="115" t="s">
        <v>1413</v>
      </c>
      <c r="H325" s="115" t="s">
        <v>2018</v>
      </c>
      <c r="I325" s="113"/>
      <c r="J325" s="113" t="s">
        <v>2779</v>
      </c>
      <c r="K325" s="229"/>
      <c r="L325" s="113" t="s">
        <v>2780</v>
      </c>
      <c r="M325" s="112" t="s">
        <v>2781</v>
      </c>
      <c r="N325" s="113" t="s">
        <v>2020</v>
      </c>
      <c r="O325" s="109" t="s">
        <v>8</v>
      </c>
      <c r="P325" s="114">
        <v>0.14299999999999999</v>
      </c>
      <c r="Q325" s="107">
        <v>1318.74</v>
      </c>
      <c r="R325" s="107">
        <f>Q325*1430</f>
        <v>1885798.2</v>
      </c>
      <c r="S325" s="107" t="s">
        <v>2019</v>
      </c>
      <c r="T325" s="369"/>
      <c r="U325" s="344">
        <f>R325*W325%</f>
        <v>18857.982</v>
      </c>
      <c r="V325" s="345">
        <f>U325</f>
        <v>18857.982</v>
      </c>
      <c r="W325" s="345">
        <v>1</v>
      </c>
      <c r="X325" s="345">
        <f t="shared" si="76"/>
        <v>13.187400000000002</v>
      </c>
      <c r="Y325" s="345">
        <f t="shared" si="72"/>
        <v>1571.4984999999999</v>
      </c>
      <c r="Z325" s="807"/>
      <c r="AA325" s="852">
        <f>1730+1571.5</f>
        <v>3301.5</v>
      </c>
      <c r="AB325" s="397">
        <v>1571.5</v>
      </c>
      <c r="AC325" s="407"/>
      <c r="AD325" s="483"/>
      <c r="AE325" s="422"/>
      <c r="AF325" s="462"/>
      <c r="AG325" s="483"/>
      <c r="AH325" s="502"/>
      <c r="AI325" s="359"/>
      <c r="AJ325" s="762"/>
      <c r="AK325" s="529"/>
      <c r="AL325" s="752"/>
      <c r="AM325" s="340">
        <f t="shared" si="66"/>
        <v>4873</v>
      </c>
      <c r="AN325" s="340">
        <f t="shared" si="67"/>
        <v>4873</v>
      </c>
      <c r="AO325" s="468"/>
      <c r="AP325" s="345">
        <f t="shared" si="69"/>
        <v>25.840516763670685</v>
      </c>
      <c r="AQ325" s="521">
        <v>9832.73</v>
      </c>
      <c r="AR325" s="523">
        <v>52.140944879468016</v>
      </c>
      <c r="AS325" s="164" t="s">
        <v>2573</v>
      </c>
      <c r="AT325" s="124" t="s">
        <v>2021</v>
      </c>
      <c r="AU325" s="113" t="s">
        <v>1634</v>
      </c>
    </row>
    <row r="326" spans="1:48" ht="150" x14ac:dyDescent="0.25">
      <c r="A326" s="8">
        <v>316</v>
      </c>
      <c r="B326" s="266">
        <v>224</v>
      </c>
      <c r="C326" s="119" t="s">
        <v>2407</v>
      </c>
      <c r="D326" s="109" t="s">
        <v>1227</v>
      </c>
      <c r="E326" s="115">
        <v>2139802669</v>
      </c>
      <c r="F326" s="110">
        <v>6510700000</v>
      </c>
      <c r="G326" s="120" t="s">
        <v>1228</v>
      </c>
      <c r="H326" s="130" t="s">
        <v>1902</v>
      </c>
      <c r="I326" s="127"/>
      <c r="J326" s="113" t="s">
        <v>1903</v>
      </c>
      <c r="K326" s="113" t="s">
        <v>1519</v>
      </c>
      <c r="L326" s="113" t="s">
        <v>1904</v>
      </c>
      <c r="M326" s="112" t="s">
        <v>1519</v>
      </c>
      <c r="N326" s="113" t="s">
        <v>1905</v>
      </c>
      <c r="O326" s="109" t="s">
        <v>8</v>
      </c>
      <c r="P326" s="114">
        <v>9.5999999999999992E-3</v>
      </c>
      <c r="Q326" s="107">
        <f>R326/P326/10000</f>
        <v>1163.9800000000002</v>
      </c>
      <c r="R326" s="107">
        <v>111742.08</v>
      </c>
      <c r="S326" s="115" t="s">
        <v>1906</v>
      </c>
      <c r="T326" s="369"/>
      <c r="U326" s="344">
        <f>R326*W326%</f>
        <v>1173.2918400000001</v>
      </c>
      <c r="V326" s="355">
        <v>11741.21</v>
      </c>
      <c r="W326" s="344">
        <v>1.05</v>
      </c>
      <c r="X326" s="333">
        <f t="shared" si="76"/>
        <v>122.30427083333335</v>
      </c>
      <c r="Y326" s="333">
        <f t="shared" si="72"/>
        <v>978.43416666666656</v>
      </c>
      <c r="Z326" s="807"/>
      <c r="AA326" s="529">
        <v>1175</v>
      </c>
      <c r="AB326" s="364"/>
      <c r="AC326" s="407"/>
      <c r="AD326" s="483"/>
      <c r="AE326" s="422"/>
      <c r="AF326" s="462"/>
      <c r="AG326" s="483"/>
      <c r="AH326" s="502"/>
      <c r="AI326" s="364"/>
      <c r="AJ326" s="751"/>
      <c r="AK326" s="529"/>
      <c r="AL326" s="756"/>
      <c r="AM326" s="340">
        <f t="shared" si="66"/>
        <v>1175</v>
      </c>
      <c r="AN326" s="340">
        <f t="shared" si="67"/>
        <v>1175</v>
      </c>
      <c r="AO326" s="468"/>
      <c r="AP326" s="333">
        <f t="shared" si="69"/>
        <v>10.007486451566747</v>
      </c>
      <c r="AQ326" s="521">
        <v>2000</v>
      </c>
      <c r="AR326" s="523">
        <v>17.034019492028506</v>
      </c>
      <c r="AS326" s="112" t="s">
        <v>2560</v>
      </c>
      <c r="AT326" s="243" t="s">
        <v>1907</v>
      </c>
      <c r="AU326" s="113" t="s">
        <v>1634</v>
      </c>
    </row>
    <row r="327" spans="1:48" ht="168.75" x14ac:dyDescent="0.25">
      <c r="A327" s="8">
        <v>317</v>
      </c>
      <c r="B327" s="266">
        <v>225</v>
      </c>
      <c r="C327" s="277" t="s">
        <v>1968</v>
      </c>
      <c r="D327" s="278" t="s">
        <v>1996</v>
      </c>
      <c r="E327" s="266">
        <v>2328401830</v>
      </c>
      <c r="F327" s="270">
        <v>6510700000</v>
      </c>
      <c r="G327" s="266" t="s">
        <v>1229</v>
      </c>
      <c r="H327" s="115" t="s">
        <v>1230</v>
      </c>
      <c r="I327" s="113" t="s">
        <v>1995</v>
      </c>
      <c r="J327" s="113" t="s">
        <v>1969</v>
      </c>
      <c r="K327" s="113" t="s">
        <v>1970</v>
      </c>
      <c r="L327" s="113" t="s">
        <v>1971</v>
      </c>
      <c r="M327" s="112" t="s">
        <v>1566</v>
      </c>
      <c r="N327" s="109" t="s">
        <v>2115</v>
      </c>
      <c r="O327" s="109" t="s">
        <v>8</v>
      </c>
      <c r="P327" s="147">
        <v>8.4599999999999995E-2</v>
      </c>
      <c r="Q327" s="241">
        <f>R327/846</f>
        <v>510.28550827423163</v>
      </c>
      <c r="R327" s="107">
        <v>431701.54</v>
      </c>
      <c r="S327" s="115" t="s">
        <v>1972</v>
      </c>
      <c r="T327" s="378" t="s">
        <v>2116</v>
      </c>
      <c r="U327" s="349">
        <v>45114.54</v>
      </c>
      <c r="V327" s="350">
        <f t="shared" ref="V327:V335" si="77">U327</f>
        <v>45114.54</v>
      </c>
      <c r="W327" s="350">
        <f>U327*100/R327</f>
        <v>10.450400524399335</v>
      </c>
      <c r="X327" s="333">
        <f t="shared" si="76"/>
        <v>53.326879432624118</v>
      </c>
      <c r="Y327" s="333">
        <f t="shared" si="72"/>
        <v>3759.5450000000001</v>
      </c>
      <c r="Z327" s="807"/>
      <c r="AA327" s="852">
        <v>3759.58</v>
      </c>
      <c r="AB327" s="359">
        <v>3759.58</v>
      </c>
      <c r="AC327" s="407">
        <v>3759.6</v>
      </c>
      <c r="AD327" s="483"/>
      <c r="AE327" s="422"/>
      <c r="AF327" s="462"/>
      <c r="AG327" s="483"/>
      <c r="AH327" s="502"/>
      <c r="AI327" s="359"/>
      <c r="AJ327" s="762"/>
      <c r="AK327" s="529"/>
      <c r="AL327" s="752"/>
      <c r="AM327" s="340">
        <f t="shared" si="66"/>
        <v>11278.76</v>
      </c>
      <c r="AN327" s="340">
        <f t="shared" si="67"/>
        <v>11278.76</v>
      </c>
      <c r="AO327" s="468"/>
      <c r="AP327" s="333">
        <f t="shared" si="69"/>
        <v>25.000277072535816</v>
      </c>
      <c r="AQ327" s="521">
        <v>41581.169999999991</v>
      </c>
      <c r="AR327" s="523">
        <v>92.168001712973222</v>
      </c>
      <c r="AS327" s="164">
        <v>44458</v>
      </c>
      <c r="AT327" s="112" t="s">
        <v>1973</v>
      </c>
      <c r="AU327" s="113" t="s">
        <v>1634</v>
      </c>
      <c r="AV327" s="438" t="s">
        <v>2476</v>
      </c>
    </row>
    <row r="328" spans="1:48" ht="150" x14ac:dyDescent="0.25">
      <c r="A328" s="8">
        <v>318</v>
      </c>
      <c r="B328" s="266">
        <v>226</v>
      </c>
      <c r="C328" s="264" t="s">
        <v>3460</v>
      </c>
      <c r="D328" s="265" t="s">
        <v>3461</v>
      </c>
      <c r="E328" s="266" t="s">
        <v>3462</v>
      </c>
      <c r="F328" s="266">
        <v>6510700000</v>
      </c>
      <c r="G328" s="266" t="s">
        <v>1231</v>
      </c>
      <c r="H328" s="266" t="s">
        <v>1232</v>
      </c>
      <c r="I328" s="267" t="s">
        <v>3463</v>
      </c>
      <c r="J328" s="267" t="s">
        <v>3464</v>
      </c>
      <c r="K328" s="267" t="s">
        <v>3465</v>
      </c>
      <c r="L328" s="267" t="s">
        <v>3466</v>
      </c>
      <c r="M328" s="283" t="s">
        <v>3467</v>
      </c>
      <c r="N328" s="273"/>
      <c r="O328" s="265" t="s">
        <v>8</v>
      </c>
      <c r="P328" s="268">
        <v>3.5999999999999999E-3</v>
      </c>
      <c r="Q328" s="269">
        <f>R328/36</f>
        <v>1329.62</v>
      </c>
      <c r="R328" s="269">
        <v>47866.32</v>
      </c>
      <c r="S328" s="266" t="s">
        <v>3406</v>
      </c>
      <c r="T328" s="374">
        <v>4809.1000000000004</v>
      </c>
      <c r="U328" s="349">
        <v>5097.6499999999996</v>
      </c>
      <c r="V328" s="349">
        <f t="shared" si="77"/>
        <v>5097.6499999999996</v>
      </c>
      <c r="W328" s="349">
        <v>10.65</v>
      </c>
      <c r="X328" s="349">
        <f t="shared" si="76"/>
        <v>141.60138888888889</v>
      </c>
      <c r="Y328" s="349">
        <f t="shared" si="72"/>
        <v>424.80416666666662</v>
      </c>
      <c r="Z328" s="840"/>
      <c r="AA328" s="475"/>
      <c r="AB328" s="410">
        <v>561.79999999999995</v>
      </c>
      <c r="AC328" s="408"/>
      <c r="AD328" s="486">
        <v>561.79999999999995</v>
      </c>
      <c r="AE328" s="410"/>
      <c r="AF328" s="475"/>
      <c r="AG328" s="410"/>
      <c r="AH328" s="410"/>
      <c r="AI328" s="410"/>
      <c r="AJ328" s="774"/>
      <c r="AK328" s="475"/>
      <c r="AL328" s="561"/>
      <c r="AM328" s="340">
        <f t="shared" si="66"/>
        <v>1123.5999999999999</v>
      </c>
      <c r="AN328" s="340">
        <f t="shared" si="67"/>
        <v>1123.5999999999999</v>
      </c>
      <c r="AO328" s="468"/>
      <c r="AP328" s="349">
        <f t="shared" si="69"/>
        <v>22.041528939805595</v>
      </c>
      <c r="AQ328" s="690">
        <v>9734.9500000000007</v>
      </c>
      <c r="AR328" s="695">
        <v>190.96936823830592</v>
      </c>
      <c r="AS328" s="310">
        <v>44314</v>
      </c>
      <c r="AT328" s="314" t="s">
        <v>1727</v>
      </c>
      <c r="AU328" s="267" t="s">
        <v>1634</v>
      </c>
    </row>
    <row r="329" spans="1:48" ht="281.25" x14ac:dyDescent="0.25">
      <c r="A329" s="8">
        <v>319</v>
      </c>
      <c r="B329" s="266">
        <v>227</v>
      </c>
      <c r="C329" s="98" t="s">
        <v>2040</v>
      </c>
      <c r="D329" s="17" t="s">
        <v>2041</v>
      </c>
      <c r="E329" s="14">
        <v>2488315683</v>
      </c>
      <c r="F329" s="19">
        <v>6510700000</v>
      </c>
      <c r="G329" s="9" t="s">
        <v>1233</v>
      </c>
      <c r="H329" s="9" t="s">
        <v>2097</v>
      </c>
      <c r="I329" s="13"/>
      <c r="J329" s="13" t="s">
        <v>2677</v>
      </c>
      <c r="K329" s="13"/>
      <c r="L329" s="13" t="s">
        <v>1234</v>
      </c>
      <c r="M329" s="20" t="s">
        <v>1567</v>
      </c>
      <c r="N329" s="34"/>
      <c r="O329" s="10" t="s">
        <v>8</v>
      </c>
      <c r="P329" s="27">
        <v>2.5999999999999999E-3</v>
      </c>
      <c r="Q329" s="12">
        <v>853.11</v>
      </c>
      <c r="R329" s="12">
        <v>22181.9</v>
      </c>
      <c r="S329" s="12" t="s">
        <v>3407</v>
      </c>
      <c r="T329" s="368"/>
      <c r="U329" s="336">
        <f>R329*W329%</f>
        <v>2440.009</v>
      </c>
      <c r="V329" s="333">
        <f t="shared" si="77"/>
        <v>2440.009</v>
      </c>
      <c r="W329" s="333">
        <v>11</v>
      </c>
      <c r="X329" s="333">
        <f t="shared" si="76"/>
        <v>93.846500000000006</v>
      </c>
      <c r="Y329" s="333">
        <f t="shared" si="72"/>
        <v>203.33408333333333</v>
      </c>
      <c r="Z329" s="807"/>
      <c r="AA329" s="711">
        <v>212.75</v>
      </c>
      <c r="AB329" s="340">
        <v>212.75</v>
      </c>
      <c r="AC329" s="406"/>
      <c r="AD329" s="459"/>
      <c r="AE329" s="421"/>
      <c r="AF329" s="463"/>
      <c r="AG329" s="459"/>
      <c r="AH329" s="503"/>
      <c r="AI329" s="340"/>
      <c r="AJ329" s="740"/>
      <c r="AK329" s="741"/>
      <c r="AL329" s="732"/>
      <c r="AM329" s="340">
        <f t="shared" si="66"/>
        <v>425.5</v>
      </c>
      <c r="AN329" s="340">
        <f t="shared" si="67"/>
        <v>425.5</v>
      </c>
      <c r="AO329" s="468"/>
      <c r="AP329" s="333">
        <f t="shared" si="69"/>
        <v>17.438460267974421</v>
      </c>
      <c r="AQ329" s="192">
        <v>2523</v>
      </c>
      <c r="AR329" s="416">
        <v>103.40610614901152</v>
      </c>
      <c r="AS329" s="140" t="s">
        <v>2914</v>
      </c>
      <c r="AT329" s="17" t="s">
        <v>1827</v>
      </c>
      <c r="AU329" s="13" t="s">
        <v>1634</v>
      </c>
    </row>
    <row r="330" spans="1:48" ht="187.5" x14ac:dyDescent="0.25">
      <c r="A330" s="8">
        <v>321</v>
      </c>
      <c r="B330" s="266">
        <v>229</v>
      </c>
      <c r="C330" s="264" t="s">
        <v>3230</v>
      </c>
      <c r="D330" s="265" t="s">
        <v>2263</v>
      </c>
      <c r="E330" s="265">
        <v>3000301294</v>
      </c>
      <c r="F330" s="270">
        <v>6510700000</v>
      </c>
      <c r="G330" s="266" t="s">
        <v>2264</v>
      </c>
      <c r="H330" s="266" t="s">
        <v>2265</v>
      </c>
      <c r="I330" s="271" t="s">
        <v>2266</v>
      </c>
      <c r="J330" s="265" t="s">
        <v>2267</v>
      </c>
      <c r="K330" s="267" t="s">
        <v>1859</v>
      </c>
      <c r="L330" s="265" t="s">
        <v>2268</v>
      </c>
      <c r="M330" s="283" t="s">
        <v>2269</v>
      </c>
      <c r="N330" s="265" t="s">
        <v>3270</v>
      </c>
      <c r="O330" s="265" t="s">
        <v>8</v>
      </c>
      <c r="P330" s="281">
        <v>0.126</v>
      </c>
      <c r="Q330" s="282">
        <f>R330/1260</f>
        <v>769.02</v>
      </c>
      <c r="R330" s="269">
        <v>968965.2</v>
      </c>
      <c r="S330" s="269" t="s">
        <v>2270</v>
      </c>
      <c r="T330" s="374">
        <v>30231.68</v>
      </c>
      <c r="U330" s="349">
        <v>30231.68</v>
      </c>
      <c r="V330" s="350">
        <f t="shared" si="77"/>
        <v>30231.68</v>
      </c>
      <c r="W330" s="350">
        <v>3.12</v>
      </c>
      <c r="X330" s="350">
        <f t="shared" si="76"/>
        <v>23.993396825396825</v>
      </c>
      <c r="Y330" s="350">
        <f t="shared" si="72"/>
        <v>2519.3066666666668</v>
      </c>
      <c r="Z330" s="807"/>
      <c r="AA330" s="855"/>
      <c r="AB330" s="358"/>
      <c r="AC330" s="408"/>
      <c r="AD330" s="486"/>
      <c r="AE330" s="437"/>
      <c r="AF330" s="469"/>
      <c r="AG330" s="486"/>
      <c r="AH330" s="504"/>
      <c r="AI330" s="358"/>
      <c r="AJ330" s="560"/>
      <c r="AK330" s="475"/>
      <c r="AL330" s="766"/>
      <c r="AM330" s="340">
        <f t="shared" ref="AM330:AM372" si="78">SUM(Z330:AK330)</f>
        <v>0</v>
      </c>
      <c r="AN330" s="340">
        <f t="shared" ref="AN330:AN374" si="79">SUM(AA330:AL330)</f>
        <v>0</v>
      </c>
      <c r="AO330" s="468"/>
      <c r="AP330" s="350">
        <f t="shared" si="69"/>
        <v>0</v>
      </c>
      <c r="AQ330" s="690">
        <v>24378.45</v>
      </c>
      <c r="AR330" s="695">
        <v>106.37440498760995</v>
      </c>
      <c r="AS330" s="310" t="s">
        <v>2595</v>
      </c>
      <c r="AT330" s="382" t="s">
        <v>3271</v>
      </c>
      <c r="AU330" s="267" t="s">
        <v>1634</v>
      </c>
      <c r="AV330" s="229"/>
    </row>
    <row r="331" spans="1:48" ht="243.75" x14ac:dyDescent="0.25">
      <c r="A331" s="8">
        <v>322</v>
      </c>
      <c r="B331" s="266">
        <v>230</v>
      </c>
      <c r="C331" s="96" t="s">
        <v>1237</v>
      </c>
      <c r="D331" s="10" t="s">
        <v>1238</v>
      </c>
      <c r="E331" s="10">
        <v>2848911277</v>
      </c>
      <c r="F331" s="19">
        <v>6510700000</v>
      </c>
      <c r="G331" s="9" t="s">
        <v>1239</v>
      </c>
      <c r="H331" s="9" t="s">
        <v>1240</v>
      </c>
      <c r="I331" s="13" t="s">
        <v>2555</v>
      </c>
      <c r="J331" s="10" t="s">
        <v>1241</v>
      </c>
      <c r="K331" s="13" t="s">
        <v>1242</v>
      </c>
      <c r="L331" s="13" t="s">
        <v>1568</v>
      </c>
      <c r="M331" s="20" t="s">
        <v>1243</v>
      </c>
      <c r="N331" s="10"/>
      <c r="O331" s="10" t="s">
        <v>8</v>
      </c>
      <c r="P331" s="21">
        <v>3.6200000000000003E-2</v>
      </c>
      <c r="Q331" s="32">
        <v>240.17</v>
      </c>
      <c r="R331" s="12">
        <v>86941.540000000008</v>
      </c>
      <c r="S331" s="9"/>
      <c r="T331" s="368"/>
      <c r="U331" s="336">
        <f>R331*W331%</f>
        <v>86.941540000000003</v>
      </c>
      <c r="V331" s="333">
        <f t="shared" si="77"/>
        <v>86.941540000000003</v>
      </c>
      <c r="W331" s="333">
        <v>0.1</v>
      </c>
      <c r="X331" s="333">
        <f t="shared" si="76"/>
        <v>0.24016999999999997</v>
      </c>
      <c r="Y331" s="333">
        <f t="shared" si="72"/>
        <v>7.2451283333333336</v>
      </c>
      <c r="Z331" s="807"/>
      <c r="AA331" s="711"/>
      <c r="AB331" s="340"/>
      <c r="AC331" s="406"/>
      <c r="AD331" s="459"/>
      <c r="AE331" s="421"/>
      <c r="AF331" s="463"/>
      <c r="AG331" s="459"/>
      <c r="AH331" s="503"/>
      <c r="AI331" s="340"/>
      <c r="AJ331" s="740"/>
      <c r="AK331" s="741"/>
      <c r="AL331" s="732"/>
      <c r="AM331" s="340">
        <f t="shared" si="78"/>
        <v>0</v>
      </c>
      <c r="AN331" s="340">
        <f t="shared" si="79"/>
        <v>0</v>
      </c>
      <c r="AO331" s="468"/>
      <c r="AP331" s="333">
        <f t="shared" si="69"/>
        <v>0</v>
      </c>
      <c r="AQ331" s="192">
        <v>2608.35</v>
      </c>
      <c r="AR331" s="416">
        <v>3000.119390569801</v>
      </c>
      <c r="AS331" s="308">
        <v>43849</v>
      </c>
      <c r="AT331" s="23" t="s">
        <v>1829</v>
      </c>
      <c r="AU331" s="13"/>
      <c r="AV331" s="229"/>
    </row>
    <row r="332" spans="1:48" ht="150" x14ac:dyDescent="0.25">
      <c r="A332" s="8">
        <v>323</v>
      </c>
      <c r="B332" s="266">
        <v>231</v>
      </c>
      <c r="C332" s="513" t="s">
        <v>3531</v>
      </c>
      <c r="D332" s="550" t="s">
        <v>3532</v>
      </c>
      <c r="E332" s="545">
        <v>3179915062</v>
      </c>
      <c r="F332" s="514">
        <v>6510700000</v>
      </c>
      <c r="G332" s="514" t="s">
        <v>1245</v>
      </c>
      <c r="H332" s="514" t="s">
        <v>1246</v>
      </c>
      <c r="I332" s="515" t="s">
        <v>3313</v>
      </c>
      <c r="J332" s="521" t="s">
        <v>3533</v>
      </c>
      <c r="K332" s="525" t="s">
        <v>3534</v>
      </c>
      <c r="L332" s="545" t="s">
        <v>3535</v>
      </c>
      <c r="M332" s="516">
        <v>43879</v>
      </c>
      <c r="N332" s="551"/>
      <c r="O332" s="545" t="s">
        <v>8</v>
      </c>
      <c r="P332" s="547">
        <v>2.2599999999999999E-2</v>
      </c>
      <c r="Q332" s="521">
        <v>1755.72</v>
      </c>
      <c r="R332" s="521">
        <v>396792.72</v>
      </c>
      <c r="S332" s="550" t="s">
        <v>1249</v>
      </c>
      <c r="T332" s="522"/>
      <c r="U332" s="548">
        <f>R332*W332%</f>
        <v>11903.781599999998</v>
      </c>
      <c r="V332" s="548">
        <v>10330.27</v>
      </c>
      <c r="W332" s="548">
        <v>3</v>
      </c>
      <c r="X332" s="548">
        <f t="shared" si="76"/>
        <v>45.709159292035409</v>
      </c>
      <c r="Y332" s="548">
        <f t="shared" si="72"/>
        <v>860.85583333333341</v>
      </c>
      <c r="Z332" s="839"/>
      <c r="AA332" s="712"/>
      <c r="AB332" s="406"/>
      <c r="AC332" s="406"/>
      <c r="AD332" s="459"/>
      <c r="AE332" s="406"/>
      <c r="AF332" s="712"/>
      <c r="AG332" s="406"/>
      <c r="AH332" s="406"/>
      <c r="AI332" s="406"/>
      <c r="AJ332" s="791"/>
      <c r="AK332" s="741"/>
      <c r="AL332" s="738"/>
      <c r="AM332" s="340">
        <f t="shared" si="78"/>
        <v>0</v>
      </c>
      <c r="AN332" s="340">
        <f t="shared" si="79"/>
        <v>0</v>
      </c>
      <c r="AO332" s="468"/>
      <c r="AP332" s="404">
        <f t="shared" si="69"/>
        <v>0</v>
      </c>
      <c r="AQ332" s="521" t="s">
        <v>1887</v>
      </c>
      <c r="AR332" s="523" t="s">
        <v>1887</v>
      </c>
      <c r="AS332" s="454">
        <v>44886</v>
      </c>
      <c r="AT332" s="549" t="s">
        <v>1830</v>
      </c>
      <c r="AU332" s="552" t="s">
        <v>1634</v>
      </c>
      <c r="AV332" s="553"/>
    </row>
    <row r="333" spans="1:48" ht="243.75" x14ac:dyDescent="0.25">
      <c r="A333" s="8">
        <v>324</v>
      </c>
      <c r="B333" s="266">
        <v>232</v>
      </c>
      <c r="C333" s="119" t="s">
        <v>1997</v>
      </c>
      <c r="D333" s="120" t="s">
        <v>1250</v>
      </c>
      <c r="E333" s="115">
        <v>1981819234</v>
      </c>
      <c r="F333" s="110">
        <v>6510700000</v>
      </c>
      <c r="G333" s="109" t="s">
        <v>1251</v>
      </c>
      <c r="H333" s="109" t="s">
        <v>1252</v>
      </c>
      <c r="I333" s="111" t="s">
        <v>472</v>
      </c>
      <c r="J333" s="109" t="s">
        <v>1253</v>
      </c>
      <c r="K333" s="113" t="s">
        <v>1254</v>
      </c>
      <c r="L333" s="109" t="s">
        <v>1255</v>
      </c>
      <c r="M333" s="112" t="s">
        <v>1560</v>
      </c>
      <c r="N333" s="112"/>
      <c r="O333" s="109" t="s">
        <v>8</v>
      </c>
      <c r="P333" s="114">
        <v>0.27</v>
      </c>
      <c r="Q333" s="107">
        <v>344.98</v>
      </c>
      <c r="R333" s="107">
        <v>931446</v>
      </c>
      <c r="S333" s="107" t="s">
        <v>1256</v>
      </c>
      <c r="T333" s="369"/>
      <c r="U333" s="344">
        <f>R333*W333%</f>
        <v>9780.1830000000009</v>
      </c>
      <c r="V333" s="345">
        <f t="shared" si="77"/>
        <v>9780.1830000000009</v>
      </c>
      <c r="W333" s="345">
        <v>1.05</v>
      </c>
      <c r="X333" s="345">
        <f t="shared" si="76"/>
        <v>3.6222900000000005</v>
      </c>
      <c r="Y333" s="345">
        <f t="shared" si="72"/>
        <v>815.01525000000004</v>
      </c>
      <c r="Z333" s="808">
        <v>5049.8500000000004</v>
      </c>
      <c r="AA333" s="860"/>
      <c r="AB333" s="739"/>
      <c r="AC333" s="406"/>
      <c r="AD333" s="459"/>
      <c r="AE333" s="421"/>
      <c r="AF333" s="463"/>
      <c r="AG333" s="459"/>
      <c r="AH333" s="503"/>
      <c r="AI333" s="792"/>
      <c r="AJ333" s="740"/>
      <c r="AK333" s="741"/>
      <c r="AL333" s="732"/>
      <c r="AM333" s="340">
        <f t="shared" si="78"/>
        <v>5049.8500000000004</v>
      </c>
      <c r="AN333" s="340">
        <f t="shared" si="79"/>
        <v>0</v>
      </c>
      <c r="AO333" s="468"/>
      <c r="AP333" s="333">
        <f t="shared" si="69"/>
        <v>51.633491929547738</v>
      </c>
      <c r="AQ333" s="521">
        <v>9955.11</v>
      </c>
      <c r="AR333" s="416">
        <v>106.8780154727166</v>
      </c>
      <c r="AS333" s="164" t="s">
        <v>2551</v>
      </c>
      <c r="AT333" s="120" t="s">
        <v>1831</v>
      </c>
      <c r="AU333" s="113" t="s">
        <v>1634</v>
      </c>
      <c r="AV333" s="242"/>
    </row>
    <row r="334" spans="1:48" ht="243.75" x14ac:dyDescent="0.25">
      <c r="A334" s="8">
        <v>325</v>
      </c>
      <c r="B334" s="9"/>
      <c r="C334" s="119" t="s">
        <v>1997</v>
      </c>
      <c r="D334" s="120" t="s">
        <v>1250</v>
      </c>
      <c r="E334" s="115">
        <v>1981819234</v>
      </c>
      <c r="F334" s="110">
        <v>6510700000</v>
      </c>
      <c r="G334" s="109" t="s">
        <v>1257</v>
      </c>
      <c r="H334" s="109" t="s">
        <v>1252</v>
      </c>
      <c r="I334" s="111" t="s">
        <v>472</v>
      </c>
      <c r="J334" s="109" t="s">
        <v>1258</v>
      </c>
      <c r="K334" s="113" t="s">
        <v>1254</v>
      </c>
      <c r="L334" s="109" t="s">
        <v>1259</v>
      </c>
      <c r="M334" s="112" t="s">
        <v>1560</v>
      </c>
      <c r="N334" s="112"/>
      <c r="O334" s="109" t="s">
        <v>8</v>
      </c>
      <c r="P334" s="114">
        <v>0.4</v>
      </c>
      <c r="Q334" s="107">
        <v>344.98</v>
      </c>
      <c r="R334" s="107">
        <v>1379920</v>
      </c>
      <c r="S334" s="107" t="s">
        <v>1260</v>
      </c>
      <c r="T334" s="369"/>
      <c r="U334" s="344">
        <f>R334*W334%</f>
        <v>14489.160000000002</v>
      </c>
      <c r="V334" s="344">
        <f t="shared" si="77"/>
        <v>14489.160000000002</v>
      </c>
      <c r="W334" s="344">
        <v>1.05</v>
      </c>
      <c r="X334" s="344">
        <f t="shared" si="76"/>
        <v>3.6222900000000005</v>
      </c>
      <c r="Y334" s="345">
        <f t="shared" si="72"/>
        <v>1207.43</v>
      </c>
      <c r="Z334" s="807">
        <v>7171.29</v>
      </c>
      <c r="AA334" s="711"/>
      <c r="AB334" s="340"/>
      <c r="AC334" s="406"/>
      <c r="AD334" s="459"/>
      <c r="AE334" s="421"/>
      <c r="AF334" s="463"/>
      <c r="AG334" s="459"/>
      <c r="AH334" s="503"/>
      <c r="AI334" s="340"/>
      <c r="AJ334" s="740"/>
      <c r="AK334" s="741"/>
      <c r="AL334" s="732"/>
      <c r="AM334" s="340">
        <f t="shared" si="78"/>
        <v>7171.29</v>
      </c>
      <c r="AN334" s="340">
        <f t="shared" si="79"/>
        <v>0</v>
      </c>
      <c r="AO334" s="468"/>
      <c r="AP334" s="333">
        <f t="shared" si="69"/>
        <v>49.494173575279717</v>
      </c>
      <c r="AQ334" s="521">
        <v>14860.42</v>
      </c>
      <c r="AR334" s="416">
        <v>107.69044582294626</v>
      </c>
      <c r="AS334" s="164" t="s">
        <v>2551</v>
      </c>
      <c r="AT334" s="120" t="s">
        <v>1831</v>
      </c>
      <c r="AU334" s="113" t="s">
        <v>1634</v>
      </c>
      <c r="AV334" s="1"/>
    </row>
    <row r="335" spans="1:48" ht="168.75" x14ac:dyDescent="0.25">
      <c r="A335" s="8">
        <v>326</v>
      </c>
      <c r="B335" s="115"/>
      <c r="C335" s="119" t="s">
        <v>1997</v>
      </c>
      <c r="D335" s="278" t="s">
        <v>1998</v>
      </c>
      <c r="E335" s="266">
        <v>1981819234</v>
      </c>
      <c r="F335" s="270">
        <v>6510700000</v>
      </c>
      <c r="G335" s="295" t="s">
        <v>1261</v>
      </c>
      <c r="H335" s="287" t="s">
        <v>1262</v>
      </c>
      <c r="I335" s="271" t="s">
        <v>1263</v>
      </c>
      <c r="J335" s="290" t="s">
        <v>1264</v>
      </c>
      <c r="K335" s="273" t="s">
        <v>1488</v>
      </c>
      <c r="L335" s="290" t="s">
        <v>1265</v>
      </c>
      <c r="M335" s="272" t="s">
        <v>1489</v>
      </c>
      <c r="N335" s="272"/>
      <c r="O335" s="265" t="s">
        <v>8</v>
      </c>
      <c r="P335" s="281">
        <v>5.8799999999999998E-2</v>
      </c>
      <c r="Q335" s="282">
        <f>R335/588</f>
        <v>1615.24</v>
      </c>
      <c r="R335" s="269">
        <v>949761.12</v>
      </c>
      <c r="S335" s="269" t="s">
        <v>1266</v>
      </c>
      <c r="T335" s="374"/>
      <c r="U335" s="349">
        <v>29632.51</v>
      </c>
      <c r="V335" s="349">
        <f t="shared" si="77"/>
        <v>29632.51</v>
      </c>
      <c r="W335" s="350">
        <v>3.12</v>
      </c>
      <c r="X335" s="333">
        <f t="shared" si="76"/>
        <v>50.395425170068023</v>
      </c>
      <c r="Y335" s="333">
        <f t="shared" si="72"/>
        <v>2469.375833333333</v>
      </c>
      <c r="Z335" s="807"/>
      <c r="AA335" s="711"/>
      <c r="AB335" s="340"/>
      <c r="AC335" s="406"/>
      <c r="AD335" s="459"/>
      <c r="AE335" s="421"/>
      <c r="AF335" s="463"/>
      <c r="AG335" s="459"/>
      <c r="AH335" s="503"/>
      <c r="AI335" s="340"/>
      <c r="AJ335" s="740"/>
      <c r="AK335" s="741"/>
      <c r="AL335" s="732"/>
      <c r="AM335" s="340">
        <f t="shared" si="78"/>
        <v>0</v>
      </c>
      <c r="AN335" s="340">
        <f t="shared" si="79"/>
        <v>0</v>
      </c>
      <c r="AO335" s="468"/>
      <c r="AP335" s="333">
        <f t="shared" si="69"/>
        <v>0</v>
      </c>
      <c r="AQ335" s="192">
        <v>30103.420000000002</v>
      </c>
      <c r="AR335" s="416">
        <v>101.58916676312604</v>
      </c>
      <c r="AS335" s="140" t="s">
        <v>2590</v>
      </c>
      <c r="AT335" s="33" t="s">
        <v>1832</v>
      </c>
      <c r="AU335" s="13" t="s">
        <v>1713</v>
      </c>
      <c r="AV335" s="1"/>
    </row>
    <row r="336" spans="1:48" ht="131.25" x14ac:dyDescent="0.25">
      <c r="A336" s="8">
        <v>327</v>
      </c>
      <c r="B336" s="266">
        <v>233</v>
      </c>
      <c r="C336" s="296" t="s">
        <v>1268</v>
      </c>
      <c r="D336" s="278" t="s">
        <v>1269</v>
      </c>
      <c r="E336" s="266">
        <v>2971415598</v>
      </c>
      <c r="F336" s="270">
        <v>6510700000</v>
      </c>
      <c r="G336" s="270" t="s">
        <v>1270</v>
      </c>
      <c r="H336" s="270" t="s">
        <v>1271</v>
      </c>
      <c r="I336" s="271" t="s">
        <v>2125</v>
      </c>
      <c r="J336" s="297" t="s">
        <v>1272</v>
      </c>
      <c r="K336" s="273" t="s">
        <v>1569</v>
      </c>
      <c r="L336" s="272" t="s">
        <v>1273</v>
      </c>
      <c r="M336" s="272" t="s">
        <v>542</v>
      </c>
      <c r="N336" s="272"/>
      <c r="O336" s="265" t="s">
        <v>8</v>
      </c>
      <c r="P336" s="281">
        <v>2.8999999999999998E-3</v>
      </c>
      <c r="Q336" s="282">
        <v>655.48</v>
      </c>
      <c r="R336" s="269">
        <v>19008.919999999998</v>
      </c>
      <c r="S336" s="269" t="s">
        <v>1274</v>
      </c>
      <c r="T336" s="374" t="s">
        <v>2126</v>
      </c>
      <c r="U336" s="349">
        <v>2444.8000000000002</v>
      </c>
      <c r="V336" s="360">
        <v>2444.8000000000002</v>
      </c>
      <c r="W336" s="350">
        <f>V336*100/R336</f>
        <v>12.861330364902376</v>
      </c>
      <c r="X336" s="333">
        <f t="shared" si="76"/>
        <v>84.303448275862081</v>
      </c>
      <c r="Y336" s="333">
        <f t="shared" si="72"/>
        <v>203.73333333333335</v>
      </c>
      <c r="Z336" s="807"/>
      <c r="AA336" s="711"/>
      <c r="AB336" s="340"/>
      <c r="AC336" s="406"/>
      <c r="AD336" s="459"/>
      <c r="AE336" s="421"/>
      <c r="AF336" s="463"/>
      <c r="AG336" s="459"/>
      <c r="AH336" s="503"/>
      <c r="AI336" s="340"/>
      <c r="AJ336" s="740"/>
      <c r="AK336" s="741"/>
      <c r="AL336" s="732"/>
      <c r="AM336" s="340">
        <f t="shared" si="78"/>
        <v>0</v>
      </c>
      <c r="AN336" s="340">
        <f t="shared" si="79"/>
        <v>0</v>
      </c>
      <c r="AO336" s="468"/>
      <c r="AP336" s="333">
        <f t="shared" si="69"/>
        <v>0</v>
      </c>
      <c r="AQ336" s="192">
        <v>0</v>
      </c>
      <c r="AR336" s="703">
        <v>0</v>
      </c>
      <c r="AS336" s="455">
        <v>44496</v>
      </c>
      <c r="AT336" s="380" t="s">
        <v>1727</v>
      </c>
      <c r="AU336" s="381" t="s">
        <v>1634</v>
      </c>
      <c r="AV336" s="1"/>
    </row>
    <row r="337" spans="1:48" ht="168.75" x14ac:dyDescent="0.25">
      <c r="A337" s="8">
        <v>328</v>
      </c>
      <c r="B337" s="266">
        <v>234</v>
      </c>
      <c r="C337" s="185" t="s">
        <v>1275</v>
      </c>
      <c r="D337" s="120" t="s">
        <v>1276</v>
      </c>
      <c r="E337" s="115">
        <v>3470906102</v>
      </c>
      <c r="F337" s="110">
        <v>6510700000</v>
      </c>
      <c r="G337" s="110" t="s">
        <v>1277</v>
      </c>
      <c r="H337" s="110" t="s">
        <v>1278</v>
      </c>
      <c r="I337" s="111" t="s">
        <v>628</v>
      </c>
      <c r="J337" s="186" t="s">
        <v>1279</v>
      </c>
      <c r="K337" s="127" t="s">
        <v>1441</v>
      </c>
      <c r="L337" s="129" t="s">
        <v>1280</v>
      </c>
      <c r="M337" s="129" t="s">
        <v>1570</v>
      </c>
      <c r="N337" s="129" t="s">
        <v>1281</v>
      </c>
      <c r="O337" s="109" t="s">
        <v>8</v>
      </c>
      <c r="P337" s="122">
        <v>2.24E-2</v>
      </c>
      <c r="Q337" s="123">
        <v>1836.14</v>
      </c>
      <c r="R337" s="107">
        <v>411295.36000000004</v>
      </c>
      <c r="S337" s="107" t="s">
        <v>1282</v>
      </c>
      <c r="T337" s="369"/>
      <c r="U337" s="336">
        <f t="shared" ref="U337:U374" si="80">R337*W337%</f>
        <v>4318.6012800000008</v>
      </c>
      <c r="V337" s="333">
        <f>U337</f>
        <v>4318.6012800000008</v>
      </c>
      <c r="W337" s="333">
        <v>1.05</v>
      </c>
      <c r="X337" s="333">
        <f t="shared" si="76"/>
        <v>19.279470000000003</v>
      </c>
      <c r="Y337" s="333">
        <f t="shared" si="72"/>
        <v>359.88344000000006</v>
      </c>
      <c r="Z337" s="807"/>
      <c r="AA337" s="711"/>
      <c r="AB337" s="340"/>
      <c r="AC337" s="406"/>
      <c r="AD337" s="459"/>
      <c r="AE337" s="421"/>
      <c r="AF337" s="463"/>
      <c r="AG337" s="767"/>
      <c r="AH337" s="503"/>
      <c r="AI337" s="340"/>
      <c r="AJ337" s="740"/>
      <c r="AK337" s="741"/>
      <c r="AL337" s="732"/>
      <c r="AM337" s="340">
        <f t="shared" si="78"/>
        <v>0</v>
      </c>
      <c r="AN337" s="340">
        <f t="shared" si="79"/>
        <v>0</v>
      </c>
      <c r="AO337" s="468"/>
      <c r="AP337" s="333">
        <f t="shared" si="69"/>
        <v>0</v>
      </c>
      <c r="AQ337" s="521">
        <v>3244</v>
      </c>
      <c r="AR337" s="523">
        <v>78.87275946901029</v>
      </c>
      <c r="AS337" s="164" t="s">
        <v>2551</v>
      </c>
      <c r="AT337" s="121" t="s">
        <v>1833</v>
      </c>
      <c r="AU337" s="113" t="s">
        <v>1634</v>
      </c>
    </row>
    <row r="338" spans="1:48" ht="150" x14ac:dyDescent="0.25">
      <c r="A338" s="8">
        <v>329</v>
      </c>
      <c r="B338" s="115">
        <v>235</v>
      </c>
      <c r="C338" s="108" t="s">
        <v>2451</v>
      </c>
      <c r="D338" s="120" t="s">
        <v>1283</v>
      </c>
      <c r="E338" s="115">
        <v>2079305630</v>
      </c>
      <c r="F338" s="110">
        <v>6510700000</v>
      </c>
      <c r="G338" s="110" t="s">
        <v>1284</v>
      </c>
      <c r="H338" s="110" t="s">
        <v>2452</v>
      </c>
      <c r="I338" s="111" t="s">
        <v>494</v>
      </c>
      <c r="J338" s="109" t="s">
        <v>2453</v>
      </c>
      <c r="K338" s="191"/>
      <c r="L338" s="167" t="s">
        <v>1286</v>
      </c>
      <c r="M338" s="148" t="s">
        <v>1571</v>
      </c>
      <c r="N338" s="167" t="s">
        <v>2454</v>
      </c>
      <c r="O338" s="167" t="s">
        <v>8</v>
      </c>
      <c r="P338" s="189">
        <v>0.106</v>
      </c>
      <c r="Q338" s="190">
        <f>R338/1060</f>
        <v>2217.75</v>
      </c>
      <c r="R338" s="107">
        <v>2350815</v>
      </c>
      <c r="S338" s="107" t="s">
        <v>2357</v>
      </c>
      <c r="T338" s="369"/>
      <c r="U338" s="344">
        <f t="shared" si="80"/>
        <v>24683.557500000003</v>
      </c>
      <c r="V338" s="345">
        <f>U338</f>
        <v>24683.557500000003</v>
      </c>
      <c r="W338" s="345">
        <v>1.05</v>
      </c>
      <c r="X338" s="345">
        <f t="shared" si="76"/>
        <v>23.286375000000003</v>
      </c>
      <c r="Y338" s="345">
        <f t="shared" si="72"/>
        <v>2056.9631250000002</v>
      </c>
      <c r="Z338" s="807"/>
      <c r="AA338" s="852">
        <v>1300</v>
      </c>
      <c r="AB338" s="359">
        <v>7278</v>
      </c>
      <c r="AC338" s="407"/>
      <c r="AD338" s="483"/>
      <c r="AE338" s="422"/>
      <c r="AF338" s="462"/>
      <c r="AG338" s="483"/>
      <c r="AH338" s="502"/>
      <c r="AI338" s="359"/>
      <c r="AJ338" s="751"/>
      <c r="AK338" s="529"/>
      <c r="AL338" s="752"/>
      <c r="AM338" s="340">
        <f t="shared" si="78"/>
        <v>8578</v>
      </c>
      <c r="AN338" s="340">
        <f t="shared" si="79"/>
        <v>8578</v>
      </c>
      <c r="AO338" s="468"/>
      <c r="AP338" s="345">
        <f t="shared" si="69"/>
        <v>34.75187885700835</v>
      </c>
      <c r="AQ338" s="521">
        <v>22530</v>
      </c>
      <c r="AR338" s="523">
        <v>91.275335818185837</v>
      </c>
      <c r="AS338" s="164" t="s">
        <v>2455</v>
      </c>
      <c r="AT338" s="125" t="s">
        <v>1834</v>
      </c>
      <c r="AU338" s="191" t="s">
        <v>1713</v>
      </c>
    </row>
    <row r="339" spans="1:48" ht="150" x14ac:dyDescent="0.25">
      <c r="A339" s="8">
        <v>330</v>
      </c>
      <c r="B339" s="9"/>
      <c r="C339" s="103" t="s">
        <v>2451</v>
      </c>
      <c r="D339" s="50" t="s">
        <v>1283</v>
      </c>
      <c r="E339" s="8">
        <v>2079305630</v>
      </c>
      <c r="F339" s="16">
        <v>6510700000</v>
      </c>
      <c r="G339" s="16" t="s">
        <v>1287</v>
      </c>
      <c r="H339" s="16" t="s">
        <v>1285</v>
      </c>
      <c r="I339" s="81"/>
      <c r="J339" s="92">
        <v>39281</v>
      </c>
      <c r="K339" s="86"/>
      <c r="L339" s="92"/>
      <c r="M339" s="92" t="s">
        <v>1288</v>
      </c>
      <c r="N339" s="92"/>
      <c r="O339" s="14" t="s">
        <v>8</v>
      </c>
      <c r="P339" s="87">
        <v>1.03E-2</v>
      </c>
      <c r="Q339" s="88">
        <v>443.47</v>
      </c>
      <c r="R339" s="68">
        <v>45677.41</v>
      </c>
      <c r="S339" s="68"/>
      <c r="T339" s="367"/>
      <c r="U339" s="336">
        <f t="shared" si="80"/>
        <v>1370.3223</v>
      </c>
      <c r="V339" s="333">
        <f>U339</f>
        <v>1370.3223</v>
      </c>
      <c r="W339" s="333">
        <v>3</v>
      </c>
      <c r="X339" s="333">
        <f t="shared" si="76"/>
        <v>13.3041</v>
      </c>
      <c r="Y339" s="333">
        <f t="shared" si="72"/>
        <v>114.19352500000001</v>
      </c>
      <c r="Z339" s="807"/>
      <c r="AA339" s="711"/>
      <c r="AB339" s="739"/>
      <c r="AC339" s="406"/>
      <c r="AD339" s="459"/>
      <c r="AE339" s="421"/>
      <c r="AF339" s="463"/>
      <c r="AG339" s="459"/>
      <c r="AH339" s="503"/>
      <c r="AI339" s="417"/>
      <c r="AJ339" s="793"/>
      <c r="AK339" s="741"/>
      <c r="AL339" s="732"/>
      <c r="AM339" s="340">
        <f t="shared" si="78"/>
        <v>0</v>
      </c>
      <c r="AN339" s="340">
        <f t="shared" si="79"/>
        <v>0</v>
      </c>
      <c r="AO339" s="468"/>
      <c r="AP339" s="333">
        <f t="shared" si="69"/>
        <v>0</v>
      </c>
      <c r="AQ339" s="472">
        <v>1300</v>
      </c>
      <c r="AR339" s="416">
        <v>94.868192687224024</v>
      </c>
      <c r="AS339" s="308">
        <v>49269</v>
      </c>
      <c r="AT339" s="93" t="s">
        <v>1835</v>
      </c>
      <c r="AU339" s="62"/>
    </row>
    <row r="340" spans="1:48" ht="356.25" x14ac:dyDescent="0.25">
      <c r="A340" s="8">
        <v>331</v>
      </c>
      <c r="B340" s="8"/>
      <c r="C340" s="103" t="s">
        <v>2451</v>
      </c>
      <c r="D340" s="50" t="s">
        <v>1283</v>
      </c>
      <c r="E340" s="8">
        <v>2079305630</v>
      </c>
      <c r="F340" s="16">
        <v>6510700000</v>
      </c>
      <c r="G340" s="16" t="s">
        <v>1287</v>
      </c>
      <c r="H340" s="16" t="s">
        <v>1285</v>
      </c>
      <c r="I340" s="81"/>
      <c r="J340" s="85" t="s">
        <v>1289</v>
      </c>
      <c r="K340" s="86"/>
      <c r="L340" s="85"/>
      <c r="M340" s="92" t="s">
        <v>1288</v>
      </c>
      <c r="N340" s="85"/>
      <c r="O340" s="14" t="s">
        <v>8</v>
      </c>
      <c r="P340" s="87">
        <v>0.41930000000000001</v>
      </c>
      <c r="Q340" s="88">
        <v>2217.35</v>
      </c>
      <c r="R340" s="68">
        <v>9297348.5499999989</v>
      </c>
      <c r="S340" s="68"/>
      <c r="T340" s="367"/>
      <c r="U340" s="336">
        <f t="shared" si="80"/>
        <v>278920.45649999997</v>
      </c>
      <c r="V340" s="333">
        <f>U340</f>
        <v>278920.45649999997</v>
      </c>
      <c r="W340" s="333">
        <v>3</v>
      </c>
      <c r="X340" s="333">
        <f t="shared" si="76"/>
        <v>66.520499999999998</v>
      </c>
      <c r="Y340" s="333">
        <f t="shared" si="72"/>
        <v>23243.371374999999</v>
      </c>
      <c r="Z340" s="807"/>
      <c r="AA340" s="711">
        <v>5978</v>
      </c>
      <c r="AB340" s="340"/>
      <c r="AC340" s="406"/>
      <c r="AD340" s="459">
        <f>3300+4000</f>
        <v>7300</v>
      </c>
      <c r="AE340" s="421"/>
      <c r="AF340" s="463"/>
      <c r="AG340" s="459"/>
      <c r="AH340" s="503"/>
      <c r="AI340" s="419"/>
      <c r="AJ340" s="740"/>
      <c r="AK340" s="741"/>
      <c r="AL340" s="732"/>
      <c r="AM340" s="340">
        <f t="shared" si="78"/>
        <v>13278</v>
      </c>
      <c r="AN340" s="340">
        <f t="shared" si="79"/>
        <v>13278</v>
      </c>
      <c r="AO340" s="468"/>
      <c r="AP340" s="333">
        <f t="shared" si="69"/>
        <v>4.7604970128822375</v>
      </c>
      <c r="AQ340" s="472">
        <v>71102</v>
      </c>
      <c r="AR340" s="416">
        <v>25.491855596471822</v>
      </c>
      <c r="AS340" s="308">
        <v>49269</v>
      </c>
      <c r="AT340" s="89" t="s">
        <v>1836</v>
      </c>
      <c r="AU340" s="62"/>
    </row>
    <row r="341" spans="1:48" ht="168.75" x14ac:dyDescent="0.25">
      <c r="A341" s="8">
        <v>332</v>
      </c>
      <c r="B341" s="8">
        <v>236</v>
      </c>
      <c r="C341" s="277" t="s">
        <v>2682</v>
      </c>
      <c r="D341" s="278" t="s">
        <v>2683</v>
      </c>
      <c r="E341" s="266">
        <v>3090125086</v>
      </c>
      <c r="F341" s="270">
        <v>6510700000</v>
      </c>
      <c r="G341" s="270" t="s">
        <v>1290</v>
      </c>
      <c r="H341" s="270" t="s">
        <v>1291</v>
      </c>
      <c r="I341" s="271" t="s">
        <v>2099</v>
      </c>
      <c r="J341" s="272" t="s">
        <v>2684</v>
      </c>
      <c r="K341" s="273" t="s">
        <v>2395</v>
      </c>
      <c r="L341" s="272" t="s">
        <v>2685</v>
      </c>
      <c r="M341" s="272">
        <v>41960</v>
      </c>
      <c r="N341" s="272" t="s">
        <v>2990</v>
      </c>
      <c r="O341" s="265" t="s">
        <v>8</v>
      </c>
      <c r="P341" s="281">
        <v>7.6E-3</v>
      </c>
      <c r="Q341" s="282">
        <f>R341/76</f>
        <v>2258.85</v>
      </c>
      <c r="R341" s="269">
        <v>171672.6</v>
      </c>
      <c r="S341" s="269" t="s">
        <v>2686</v>
      </c>
      <c r="T341" s="374">
        <v>5482.46</v>
      </c>
      <c r="U341" s="349">
        <v>10401.36</v>
      </c>
      <c r="V341" s="352">
        <v>10401.36</v>
      </c>
      <c r="W341" s="350">
        <v>6.06</v>
      </c>
      <c r="X341" s="333">
        <f t="shared" si="76"/>
        <v>136.86000000000001</v>
      </c>
      <c r="Y341" s="333">
        <f t="shared" si="72"/>
        <v>866.78000000000009</v>
      </c>
      <c r="Z341" s="807"/>
      <c r="AA341" s="711"/>
      <c r="AB341" s="340"/>
      <c r="AC341" s="406"/>
      <c r="AD341" s="459"/>
      <c r="AE341" s="421"/>
      <c r="AF341" s="463"/>
      <c r="AG341" s="459"/>
      <c r="AH341" s="503"/>
      <c r="AI341" s="340"/>
      <c r="AJ341" s="740"/>
      <c r="AK341" s="741"/>
      <c r="AL341" s="732"/>
      <c r="AM341" s="340">
        <f t="shared" si="78"/>
        <v>0</v>
      </c>
      <c r="AN341" s="340">
        <f t="shared" si="79"/>
        <v>0</v>
      </c>
      <c r="AO341" s="468"/>
      <c r="AP341" s="333">
        <f t="shared" si="69"/>
        <v>0</v>
      </c>
      <c r="AQ341" s="472">
        <v>12474.6</v>
      </c>
      <c r="AR341" s="416">
        <v>119.93239345624033</v>
      </c>
      <c r="AS341" s="140">
        <v>43967</v>
      </c>
      <c r="AT341" s="60" t="s">
        <v>2687</v>
      </c>
      <c r="AU341" s="13" t="s">
        <v>1634</v>
      </c>
      <c r="AV341" s="1"/>
    </row>
    <row r="342" spans="1:48" ht="168.75" x14ac:dyDescent="0.25">
      <c r="A342" s="8">
        <v>333</v>
      </c>
      <c r="B342" s="266">
        <v>237</v>
      </c>
      <c r="C342" s="119" t="s">
        <v>1292</v>
      </c>
      <c r="D342" s="120" t="s">
        <v>1293</v>
      </c>
      <c r="E342" s="109">
        <v>2310211017</v>
      </c>
      <c r="F342" s="110">
        <v>6510700000</v>
      </c>
      <c r="G342" s="110" t="s">
        <v>1294</v>
      </c>
      <c r="H342" s="110" t="s">
        <v>1295</v>
      </c>
      <c r="I342" s="111"/>
      <c r="J342" s="109" t="s">
        <v>1296</v>
      </c>
      <c r="K342" s="113" t="s">
        <v>1297</v>
      </c>
      <c r="L342" s="109" t="s">
        <v>1298</v>
      </c>
      <c r="M342" s="112" t="s">
        <v>1299</v>
      </c>
      <c r="N342" s="109" t="s">
        <v>134</v>
      </c>
      <c r="O342" s="109" t="s">
        <v>8</v>
      </c>
      <c r="P342" s="122">
        <v>6.8999999999999999E-3</v>
      </c>
      <c r="Q342" s="123">
        <v>940.08</v>
      </c>
      <c r="R342" s="107">
        <v>64865.520000000004</v>
      </c>
      <c r="S342" s="107" t="s">
        <v>1300</v>
      </c>
      <c r="T342" s="369"/>
      <c r="U342" s="343">
        <f t="shared" si="80"/>
        <v>6486.5520000000006</v>
      </c>
      <c r="V342" s="339">
        <f t="shared" ref="V342:V364" si="81">U342</f>
        <v>6486.5520000000006</v>
      </c>
      <c r="W342" s="339">
        <v>10</v>
      </c>
      <c r="X342" s="333">
        <f t="shared" si="76"/>
        <v>94.00800000000001</v>
      </c>
      <c r="Y342" s="333">
        <f t="shared" si="72"/>
        <v>540.54600000000005</v>
      </c>
      <c r="Z342" s="807"/>
      <c r="AA342" s="711">
        <v>1000</v>
      </c>
      <c r="AB342" s="340">
        <v>605</v>
      </c>
      <c r="AC342" s="406"/>
      <c r="AD342" s="459"/>
      <c r="AE342" s="421"/>
      <c r="AF342" s="463"/>
      <c r="AG342" s="459"/>
      <c r="AH342" s="503"/>
      <c r="AI342" s="340"/>
      <c r="AJ342" s="740"/>
      <c r="AK342" s="741"/>
      <c r="AL342" s="732"/>
      <c r="AM342" s="340">
        <f t="shared" si="78"/>
        <v>1605</v>
      </c>
      <c r="AN342" s="340">
        <f t="shared" si="79"/>
        <v>1605</v>
      </c>
      <c r="AO342" s="468"/>
      <c r="AP342" s="333">
        <f t="shared" si="69"/>
        <v>24.743500090649082</v>
      </c>
      <c r="AQ342" s="521">
        <v>5946.0500000000011</v>
      </c>
      <c r="AR342" s="523">
        <v>91.667344993148916</v>
      </c>
      <c r="AS342" s="164" t="s">
        <v>2615</v>
      </c>
      <c r="AT342" s="124" t="s">
        <v>1837</v>
      </c>
      <c r="AU342" s="113" t="s">
        <v>1634</v>
      </c>
      <c r="AV342" s="1"/>
    </row>
    <row r="343" spans="1:48" ht="168.75" x14ac:dyDescent="0.25">
      <c r="A343" s="8">
        <v>334</v>
      </c>
      <c r="B343" s="115">
        <v>238</v>
      </c>
      <c r="C343" s="277" t="s">
        <v>1301</v>
      </c>
      <c r="D343" s="278" t="s">
        <v>1302</v>
      </c>
      <c r="E343" s="266" t="s">
        <v>1572</v>
      </c>
      <c r="F343" s="270">
        <v>6510700000</v>
      </c>
      <c r="G343" s="270" t="s">
        <v>1303</v>
      </c>
      <c r="H343" s="270" t="s">
        <v>2130</v>
      </c>
      <c r="I343" s="271" t="s">
        <v>1999</v>
      </c>
      <c r="J343" s="265" t="s">
        <v>1304</v>
      </c>
      <c r="K343" s="267" t="s">
        <v>1508</v>
      </c>
      <c r="L343" s="265" t="s">
        <v>1305</v>
      </c>
      <c r="M343" s="283" t="s">
        <v>776</v>
      </c>
      <c r="N343" s="265"/>
      <c r="O343" s="265" t="s">
        <v>8</v>
      </c>
      <c r="P343" s="268">
        <v>1.83E-2</v>
      </c>
      <c r="Q343" s="269">
        <f>R343/183</f>
        <v>1595.54</v>
      </c>
      <c r="R343" s="269">
        <v>291983.82</v>
      </c>
      <c r="S343" s="269" t="s">
        <v>2000</v>
      </c>
      <c r="T343" s="374" t="s">
        <v>2131</v>
      </c>
      <c r="U343" s="356">
        <v>16059.52</v>
      </c>
      <c r="V343" s="350">
        <f>U343</f>
        <v>16059.52</v>
      </c>
      <c r="W343" s="350">
        <v>5.83</v>
      </c>
      <c r="X343" s="350">
        <f t="shared" si="76"/>
        <v>87.756939890710385</v>
      </c>
      <c r="Y343" s="333">
        <f t="shared" si="72"/>
        <v>1338.2933333333333</v>
      </c>
      <c r="Z343" s="807"/>
      <c r="AA343" s="711"/>
      <c r="AB343" s="340"/>
      <c r="AC343" s="406"/>
      <c r="AD343" s="459"/>
      <c r="AE343" s="421"/>
      <c r="AF343" s="459"/>
      <c r="AG343" s="488"/>
      <c r="AH343" s="503"/>
      <c r="AI343" s="340"/>
      <c r="AJ343" s="740"/>
      <c r="AK343" s="741"/>
      <c r="AL343" s="732"/>
      <c r="AM343" s="340">
        <f t="shared" si="78"/>
        <v>0</v>
      </c>
      <c r="AN343" s="340">
        <f t="shared" si="79"/>
        <v>0</v>
      </c>
      <c r="AO343" s="468"/>
      <c r="AP343" s="333">
        <f t="shared" ref="AP343:AP373" si="82">AM343*100/V343</f>
        <v>0</v>
      </c>
      <c r="AQ343" s="192">
        <v>117.81283083724249</v>
      </c>
      <c r="AR343" s="695">
        <v>149.44406806679154</v>
      </c>
      <c r="AS343" s="310" t="s">
        <v>2596</v>
      </c>
      <c r="AT343" s="377" t="s">
        <v>1826</v>
      </c>
      <c r="AU343" s="267" t="s">
        <v>1634</v>
      </c>
    </row>
    <row r="344" spans="1:48" ht="168.75" x14ac:dyDescent="0.25">
      <c r="A344" s="8">
        <v>335</v>
      </c>
      <c r="B344" s="8">
        <v>239</v>
      </c>
      <c r="C344" s="277" t="s">
        <v>2981</v>
      </c>
      <c r="D344" s="278" t="s">
        <v>2982</v>
      </c>
      <c r="E344" s="266">
        <v>2364701797</v>
      </c>
      <c r="F344" s="270">
        <v>6510700000</v>
      </c>
      <c r="G344" s="270" t="s">
        <v>2983</v>
      </c>
      <c r="H344" s="270" t="s">
        <v>2984</v>
      </c>
      <c r="I344" s="271" t="s">
        <v>2985</v>
      </c>
      <c r="J344" s="273" t="s">
        <v>2986</v>
      </c>
      <c r="K344" s="273" t="s">
        <v>2963</v>
      </c>
      <c r="L344" s="273" t="s">
        <v>2987</v>
      </c>
      <c r="M344" s="272">
        <v>43740</v>
      </c>
      <c r="N344" s="273"/>
      <c r="O344" s="265" t="s">
        <v>8</v>
      </c>
      <c r="P344" s="281">
        <v>0.25340000000000001</v>
      </c>
      <c r="Q344" s="282">
        <f>R344/P344/10000</f>
        <v>317.39</v>
      </c>
      <c r="R344" s="269">
        <v>804266.26</v>
      </c>
      <c r="S344" s="269" t="s">
        <v>2988</v>
      </c>
      <c r="T344" s="374">
        <v>9128.33</v>
      </c>
      <c r="U344" s="349">
        <v>9128.33</v>
      </c>
      <c r="V344" s="350">
        <f>U344</f>
        <v>9128.33</v>
      </c>
      <c r="W344" s="350">
        <v>1.135</v>
      </c>
      <c r="X344" s="350">
        <f>U344/(P344*10000)</f>
        <v>3.6023401736385163</v>
      </c>
      <c r="Y344" s="350">
        <f t="shared" si="72"/>
        <v>760.69416666666666</v>
      </c>
      <c r="Z344" s="807"/>
      <c r="AA344" s="855"/>
      <c r="AB344" s="358"/>
      <c r="AC344" s="408"/>
      <c r="AD344" s="486"/>
      <c r="AE344" s="437"/>
      <c r="AF344" s="469"/>
      <c r="AG344" s="486"/>
      <c r="AH344" s="504"/>
      <c r="AI344" s="358"/>
      <c r="AJ344" s="765"/>
      <c r="AK344" s="475"/>
      <c r="AL344" s="766"/>
      <c r="AM344" s="340">
        <f t="shared" si="78"/>
        <v>0</v>
      </c>
      <c r="AN344" s="340">
        <f t="shared" si="79"/>
        <v>0</v>
      </c>
      <c r="AO344" s="468"/>
      <c r="AP344" s="350">
        <f t="shared" si="82"/>
        <v>0</v>
      </c>
      <c r="AQ344" s="696">
        <v>69.783749799216253</v>
      </c>
      <c r="AR344" s="697">
        <v>117.81283083724249</v>
      </c>
      <c r="AS344" s="310">
        <v>45560</v>
      </c>
      <c r="AT344" s="382" t="s">
        <v>2989</v>
      </c>
      <c r="AU344" s="267" t="s">
        <v>1632</v>
      </c>
    </row>
    <row r="345" spans="1:48" ht="150" x14ac:dyDescent="0.25">
      <c r="A345" s="8">
        <v>336</v>
      </c>
      <c r="B345" s="615">
        <v>240</v>
      </c>
      <c r="C345" s="613" t="s">
        <v>1948</v>
      </c>
      <c r="D345" s="614" t="s">
        <v>1306</v>
      </c>
      <c r="E345" s="615">
        <v>2031805666</v>
      </c>
      <c r="F345" s="616">
        <v>6510700000</v>
      </c>
      <c r="G345" s="616" t="s">
        <v>1307</v>
      </c>
      <c r="H345" s="616" t="s">
        <v>1308</v>
      </c>
      <c r="I345" s="651" t="s">
        <v>1309</v>
      </c>
      <c r="J345" s="618" t="s">
        <v>1310</v>
      </c>
      <c r="K345" s="652" t="s">
        <v>1573</v>
      </c>
      <c r="L345" s="618" t="s">
        <v>1311</v>
      </c>
      <c r="M345" s="620" t="s">
        <v>1574</v>
      </c>
      <c r="N345" s="618"/>
      <c r="O345" s="617" t="s">
        <v>8</v>
      </c>
      <c r="P345" s="653">
        <v>1.1999999999999999E-3</v>
      </c>
      <c r="Q345" s="654">
        <f>R345/12</f>
        <v>2043.2299999999998</v>
      </c>
      <c r="R345" s="655">
        <v>24518.76</v>
      </c>
      <c r="S345" s="655" t="s">
        <v>3299</v>
      </c>
      <c r="T345" s="622"/>
      <c r="U345" s="623">
        <f t="shared" si="80"/>
        <v>2697.0636</v>
      </c>
      <c r="V345" s="623">
        <f t="shared" si="81"/>
        <v>2697.0636</v>
      </c>
      <c r="W345" s="623">
        <v>11</v>
      </c>
      <c r="X345" s="623">
        <f t="shared" ref="X345:X352" si="83">V345/(P345*10000)</f>
        <v>224.75530000000003</v>
      </c>
      <c r="Y345" s="806">
        <f t="shared" si="72"/>
        <v>224.75530000000001</v>
      </c>
      <c r="Z345" s="846">
        <v>2697.06</v>
      </c>
      <c r="AA345" s="656"/>
      <c r="AB345" s="656"/>
      <c r="AC345" s="777"/>
      <c r="AD345" s="1116"/>
      <c r="AE345" s="656"/>
      <c r="AF345" s="656"/>
      <c r="AG345" s="656"/>
      <c r="AH345" s="656"/>
      <c r="AI345" s="656"/>
      <c r="AJ345" s="794"/>
      <c r="AK345" s="656"/>
      <c r="AL345" s="795"/>
      <c r="AM345" s="340">
        <f t="shared" si="78"/>
        <v>2697.06</v>
      </c>
      <c r="AN345" s="340">
        <f t="shared" si="79"/>
        <v>0</v>
      </c>
      <c r="AO345" s="468"/>
      <c r="AP345" s="623">
        <f t="shared" si="82"/>
        <v>99.999866521501389</v>
      </c>
      <c r="AQ345" s="804">
        <v>116.97757166830301</v>
      </c>
      <c r="AR345" s="804">
        <v>69.783749799216253</v>
      </c>
      <c r="AS345" s="657" t="s">
        <v>2616</v>
      </c>
      <c r="AT345" s="658" t="s">
        <v>1838</v>
      </c>
      <c r="AU345" s="619" t="s">
        <v>1634</v>
      </c>
    </row>
    <row r="346" spans="1:48" ht="168.75" x14ac:dyDescent="0.25">
      <c r="A346" s="266">
        <v>337</v>
      </c>
      <c r="B346" s="902">
        <v>241</v>
      </c>
      <c r="C346" s="277" t="s">
        <v>1312</v>
      </c>
      <c r="D346" s="278" t="s">
        <v>1313</v>
      </c>
      <c r="E346" s="266">
        <v>2475914457</v>
      </c>
      <c r="F346" s="270">
        <v>6510700000</v>
      </c>
      <c r="G346" s="270" t="s">
        <v>1314</v>
      </c>
      <c r="H346" s="270" t="s">
        <v>1315</v>
      </c>
      <c r="I346" s="271" t="s">
        <v>1316</v>
      </c>
      <c r="J346" s="290" t="s">
        <v>1317</v>
      </c>
      <c r="K346" s="273" t="s">
        <v>770</v>
      </c>
      <c r="L346" s="290" t="s">
        <v>1318</v>
      </c>
      <c r="M346" s="272" t="s">
        <v>1472</v>
      </c>
      <c r="N346" s="290"/>
      <c r="O346" s="265" t="s">
        <v>8</v>
      </c>
      <c r="P346" s="281">
        <v>7.0000000000000001E-3</v>
      </c>
      <c r="Q346" s="282">
        <v>1972.7</v>
      </c>
      <c r="R346" s="269">
        <v>138089</v>
      </c>
      <c r="S346" s="274" t="s">
        <v>1319</v>
      </c>
      <c r="T346" s="374"/>
      <c r="U346" s="349">
        <v>14361.3</v>
      </c>
      <c r="V346" s="349">
        <f t="shared" si="81"/>
        <v>14361.3</v>
      </c>
      <c r="W346" s="349">
        <v>10.4</v>
      </c>
      <c r="X346" s="350">
        <f t="shared" si="83"/>
        <v>205.16142857142856</v>
      </c>
      <c r="Y346" s="350">
        <f t="shared" si="72"/>
        <v>1196.7749999999999</v>
      </c>
      <c r="Z346" s="903">
        <v>1610</v>
      </c>
      <c r="AA346" s="855"/>
      <c r="AB346" s="358">
        <v>1700</v>
      </c>
      <c r="AC346" s="408"/>
      <c r="AD346" s="486"/>
      <c r="AE346" s="437"/>
      <c r="AF346" s="469"/>
      <c r="AG346" s="486"/>
      <c r="AH346" s="504"/>
      <c r="AI346" s="358"/>
      <c r="AJ346" s="560"/>
      <c r="AK346" s="475"/>
      <c r="AL346" s="766"/>
      <c r="AM346" s="358">
        <f t="shared" si="78"/>
        <v>3310</v>
      </c>
      <c r="AN346" s="358">
        <f t="shared" si="79"/>
        <v>1700</v>
      </c>
      <c r="AO346" s="1216"/>
      <c r="AP346" s="350">
        <f t="shared" si="82"/>
        <v>23.048052752884491</v>
      </c>
      <c r="AQ346" s="690">
        <v>16799.5</v>
      </c>
      <c r="AR346" s="695">
        <v>116.97757166830301</v>
      </c>
      <c r="AS346" s="310" t="s">
        <v>2594</v>
      </c>
      <c r="AT346" s="382" t="s">
        <v>1839</v>
      </c>
      <c r="AU346" s="267" t="s">
        <v>1634</v>
      </c>
    </row>
    <row r="347" spans="1:48" ht="150" x14ac:dyDescent="0.25">
      <c r="A347" s="8">
        <v>338</v>
      </c>
      <c r="B347" s="564">
        <v>242</v>
      </c>
      <c r="C347" s="566" t="s">
        <v>2117</v>
      </c>
      <c r="D347" s="278" t="s">
        <v>2001</v>
      </c>
      <c r="E347" s="266">
        <v>2864821690</v>
      </c>
      <c r="F347" s="270">
        <v>6510700000</v>
      </c>
      <c r="G347" s="270" t="s">
        <v>1320</v>
      </c>
      <c r="H347" s="270" t="s">
        <v>2118</v>
      </c>
      <c r="I347" s="271" t="s">
        <v>2119</v>
      </c>
      <c r="J347" s="272" t="s">
        <v>2013</v>
      </c>
      <c r="K347" s="273" t="s">
        <v>2014</v>
      </c>
      <c r="L347" s="272" t="s">
        <v>2015</v>
      </c>
      <c r="M347" s="272">
        <v>42690</v>
      </c>
      <c r="N347" s="272"/>
      <c r="O347" s="265" t="s">
        <v>8</v>
      </c>
      <c r="P347" s="281">
        <v>8.3999999999999995E-3</v>
      </c>
      <c r="Q347" s="661">
        <f>R347/84</f>
        <v>826.53000000000009</v>
      </c>
      <c r="R347" s="579">
        <v>69428.52</v>
      </c>
      <c r="S347" s="715" t="s">
        <v>3356</v>
      </c>
      <c r="T347" s="379" t="s">
        <v>2120</v>
      </c>
      <c r="U347" s="349">
        <v>7533.05</v>
      </c>
      <c r="V347" s="350">
        <f t="shared" si="81"/>
        <v>7533.05</v>
      </c>
      <c r="W347" s="350">
        <v>10.85</v>
      </c>
      <c r="X347" s="333">
        <f t="shared" si="83"/>
        <v>89.679166666666674</v>
      </c>
      <c r="Y347" s="333">
        <f t="shared" si="72"/>
        <v>627.75416666666672</v>
      </c>
      <c r="Z347" s="807"/>
      <c r="AA347" s="711">
        <v>627.79999999999995</v>
      </c>
      <c r="AB347" s="340">
        <v>627.79999999999995</v>
      </c>
      <c r="AC347" s="406"/>
      <c r="AD347" s="459"/>
      <c r="AE347" s="421"/>
      <c r="AF347" s="463"/>
      <c r="AG347" s="459"/>
      <c r="AH347" s="503"/>
      <c r="AI347" s="340"/>
      <c r="AJ347" s="740"/>
      <c r="AK347" s="741"/>
      <c r="AL347" s="732"/>
      <c r="AM347" s="340">
        <f t="shared" si="78"/>
        <v>1255.5999999999999</v>
      </c>
      <c r="AN347" s="340">
        <f t="shared" si="79"/>
        <v>1255.5999999999999</v>
      </c>
      <c r="AO347" s="468"/>
      <c r="AP347" s="333">
        <f t="shared" si="82"/>
        <v>16.667883526592814</v>
      </c>
      <c r="AQ347" s="192">
        <v>6905.8000000000011</v>
      </c>
      <c r="AR347" s="416">
        <v>91.673359396260494</v>
      </c>
      <c r="AS347" s="140" t="s">
        <v>3171</v>
      </c>
      <c r="AT347" s="60" t="s">
        <v>1840</v>
      </c>
      <c r="AU347" s="13" t="s">
        <v>1634</v>
      </c>
    </row>
    <row r="348" spans="1:48" ht="168.75" x14ac:dyDescent="0.25">
      <c r="A348" s="8">
        <v>339</v>
      </c>
      <c r="B348" s="564">
        <v>243</v>
      </c>
      <c r="C348" s="565" t="s">
        <v>2808</v>
      </c>
      <c r="D348" s="17" t="s">
        <v>2837</v>
      </c>
      <c r="E348" s="9">
        <v>2809617568</v>
      </c>
      <c r="F348" s="19">
        <v>6510700000</v>
      </c>
      <c r="G348" s="19" t="s">
        <v>1321</v>
      </c>
      <c r="H348" s="19" t="s">
        <v>1322</v>
      </c>
      <c r="I348" s="75"/>
      <c r="J348" s="10" t="s">
        <v>1323</v>
      </c>
      <c r="K348" s="13"/>
      <c r="L348" s="10">
        <v>40973200085</v>
      </c>
      <c r="M348" s="20">
        <v>39996</v>
      </c>
      <c r="N348" s="10"/>
      <c r="O348" s="10" t="s">
        <v>8</v>
      </c>
      <c r="P348" s="27">
        <v>3.5000000000000001E-3</v>
      </c>
      <c r="Q348" s="579">
        <f>R348/35</f>
        <v>931.19</v>
      </c>
      <c r="R348" s="579">
        <v>32591.65</v>
      </c>
      <c r="S348" s="568" t="s">
        <v>3357</v>
      </c>
      <c r="T348" s="368"/>
      <c r="U348" s="336">
        <f t="shared" si="80"/>
        <v>3910.998</v>
      </c>
      <c r="V348" s="333">
        <f t="shared" si="81"/>
        <v>3910.998</v>
      </c>
      <c r="W348" s="333">
        <v>12</v>
      </c>
      <c r="X348" s="333">
        <f t="shared" si="83"/>
        <v>111.7428</v>
      </c>
      <c r="Y348" s="333">
        <f t="shared" si="72"/>
        <v>325.91649999999998</v>
      </c>
      <c r="Z348" s="807"/>
      <c r="AA348" s="711"/>
      <c r="AB348" s="340"/>
      <c r="AC348" s="406"/>
      <c r="AD348" s="459"/>
      <c r="AE348" s="421"/>
      <c r="AF348" s="463"/>
      <c r="AG348" s="459"/>
      <c r="AH348" s="503"/>
      <c r="AI348" s="340"/>
      <c r="AJ348" s="740"/>
      <c r="AK348" s="741"/>
      <c r="AL348" s="732"/>
      <c r="AM348" s="340">
        <f t="shared" si="78"/>
        <v>0</v>
      </c>
      <c r="AN348" s="340">
        <f t="shared" si="79"/>
        <v>0</v>
      </c>
      <c r="AO348" s="468"/>
      <c r="AP348" s="333">
        <f t="shared" si="82"/>
        <v>0</v>
      </c>
      <c r="AQ348" s="192">
        <v>656.65</v>
      </c>
      <c r="AR348" s="416">
        <v>16.792897907159684</v>
      </c>
      <c r="AS348" s="140">
        <v>42187</v>
      </c>
      <c r="AT348" s="17" t="s">
        <v>1841</v>
      </c>
      <c r="AU348" s="13" t="s">
        <v>1634</v>
      </c>
    </row>
    <row r="349" spans="1:48" ht="206.25" x14ac:dyDescent="0.25">
      <c r="A349" s="8">
        <v>340</v>
      </c>
      <c r="B349" s="564">
        <v>244</v>
      </c>
      <c r="C349" s="528" t="s">
        <v>1324</v>
      </c>
      <c r="D349" s="265" t="s">
        <v>1325</v>
      </c>
      <c r="E349" s="266" t="s">
        <v>1575</v>
      </c>
      <c r="F349" s="266">
        <v>6510700000</v>
      </c>
      <c r="G349" s="266" t="s">
        <v>1326</v>
      </c>
      <c r="H349" s="270" t="s">
        <v>1327</v>
      </c>
      <c r="I349" s="271" t="s">
        <v>1328</v>
      </c>
      <c r="J349" s="324" t="s">
        <v>1329</v>
      </c>
      <c r="K349" s="267" t="s">
        <v>1565</v>
      </c>
      <c r="L349" s="265" t="s">
        <v>1330</v>
      </c>
      <c r="M349" s="283" t="s">
        <v>328</v>
      </c>
      <c r="N349" s="265"/>
      <c r="O349" s="265" t="s">
        <v>8</v>
      </c>
      <c r="P349" s="268">
        <v>0.12759999999999999</v>
      </c>
      <c r="Q349" s="579">
        <f>R349/1276</f>
        <v>813.17000000000007</v>
      </c>
      <c r="R349" s="579">
        <v>1037604.92</v>
      </c>
      <c r="S349" s="568" t="s">
        <v>3352</v>
      </c>
      <c r="T349" s="374"/>
      <c r="U349" s="349">
        <v>31793.200000000001</v>
      </c>
      <c r="V349" s="349">
        <f t="shared" si="81"/>
        <v>31793.200000000001</v>
      </c>
      <c r="W349" s="349">
        <f>V349*100/R349</f>
        <v>3.0640949543685663</v>
      </c>
      <c r="X349" s="349">
        <f t="shared" si="83"/>
        <v>24.916300940438873</v>
      </c>
      <c r="Y349" s="349">
        <f t="shared" si="72"/>
        <v>2649.4333333333334</v>
      </c>
      <c r="Z349" s="840"/>
      <c r="AA349" s="475"/>
      <c r="AB349" s="410"/>
      <c r="AC349" s="408"/>
      <c r="AD349" s="486"/>
      <c r="AE349" s="437"/>
      <c r="AF349" s="469"/>
      <c r="AG349" s="486"/>
      <c r="AH349" s="504"/>
      <c r="AI349" s="410"/>
      <c r="AJ349" s="560"/>
      <c r="AK349" s="475"/>
      <c r="AL349" s="561"/>
      <c r="AM349" s="340">
        <f t="shared" si="78"/>
        <v>0</v>
      </c>
      <c r="AN349" s="340">
        <f t="shared" si="79"/>
        <v>0</v>
      </c>
      <c r="AO349" s="468"/>
      <c r="AP349" s="349">
        <f t="shared" si="82"/>
        <v>0</v>
      </c>
      <c r="AQ349" s="690">
        <v>33705.9</v>
      </c>
      <c r="AR349" s="695">
        <v>106.01606632864889</v>
      </c>
      <c r="AS349" s="310" t="s">
        <v>2617</v>
      </c>
      <c r="AT349" s="287" t="s">
        <v>1842</v>
      </c>
      <c r="AU349" s="267" t="s">
        <v>1634</v>
      </c>
    </row>
    <row r="350" spans="1:48" ht="187.5" x14ac:dyDescent="0.25">
      <c r="A350" s="8">
        <v>341</v>
      </c>
      <c r="B350" s="564">
        <v>245</v>
      </c>
      <c r="C350" s="119" t="s">
        <v>2062</v>
      </c>
      <c r="D350" s="109" t="s">
        <v>2063</v>
      </c>
      <c r="E350" s="109">
        <v>2725314826</v>
      </c>
      <c r="F350" s="115">
        <v>6510700000</v>
      </c>
      <c r="G350" s="115" t="s">
        <v>1331</v>
      </c>
      <c r="H350" s="110" t="s">
        <v>1332</v>
      </c>
      <c r="I350" s="111" t="s">
        <v>2064</v>
      </c>
      <c r="J350" s="112" t="s">
        <v>2066</v>
      </c>
      <c r="K350" s="113" t="s">
        <v>2065</v>
      </c>
      <c r="L350" s="113" t="s">
        <v>2067</v>
      </c>
      <c r="M350" s="112" t="s">
        <v>2068</v>
      </c>
      <c r="N350" s="112" t="s">
        <v>1857</v>
      </c>
      <c r="O350" s="109" t="s">
        <v>8</v>
      </c>
      <c r="P350" s="114">
        <v>4.7999999999999996E-3</v>
      </c>
      <c r="Q350" s="188">
        <v>686.68</v>
      </c>
      <c r="R350" s="107">
        <v>32960.639999999999</v>
      </c>
      <c r="S350" s="107" t="s">
        <v>2069</v>
      </c>
      <c r="T350" s="369"/>
      <c r="U350" s="353">
        <f t="shared" si="80"/>
        <v>3955.2767999999996</v>
      </c>
      <c r="V350" s="582">
        <f t="shared" si="81"/>
        <v>3955.2767999999996</v>
      </c>
      <c r="W350" s="345">
        <v>12</v>
      </c>
      <c r="X350" s="345">
        <f t="shared" si="83"/>
        <v>82.401600000000002</v>
      </c>
      <c r="Y350" s="345">
        <f t="shared" si="72"/>
        <v>329.60639999999995</v>
      </c>
      <c r="Z350" s="807"/>
      <c r="AA350" s="852"/>
      <c r="AB350" s="359"/>
      <c r="AC350" s="407"/>
      <c r="AD350" s="483"/>
      <c r="AE350" s="422"/>
      <c r="AF350" s="462"/>
      <c r="AG350" s="483"/>
      <c r="AH350" s="502"/>
      <c r="AI350" s="359"/>
      <c r="AJ350" s="751"/>
      <c r="AK350" s="529"/>
      <c r="AL350" s="752"/>
      <c r="AM350" s="340">
        <f t="shared" si="78"/>
        <v>0</v>
      </c>
      <c r="AN350" s="340">
        <f t="shared" si="79"/>
        <v>0</v>
      </c>
      <c r="AO350" s="468"/>
      <c r="AP350" s="345">
        <f t="shared" si="82"/>
        <v>0</v>
      </c>
      <c r="AQ350" s="521">
        <v>3955.28</v>
      </c>
      <c r="AR350" s="523">
        <v>100.00008090457791</v>
      </c>
      <c r="AS350" s="164" t="s">
        <v>2548</v>
      </c>
      <c r="AT350" s="124" t="s">
        <v>2070</v>
      </c>
      <c r="AU350" s="113" t="s">
        <v>1850</v>
      </c>
    </row>
    <row r="351" spans="1:48" ht="131.25" x14ac:dyDescent="0.25">
      <c r="A351" s="8">
        <v>342</v>
      </c>
      <c r="B351" s="564">
        <v>246</v>
      </c>
      <c r="C351" s="108" t="s">
        <v>1877</v>
      </c>
      <c r="D351" s="109" t="s">
        <v>1878</v>
      </c>
      <c r="E351" s="109">
        <v>2764320728</v>
      </c>
      <c r="F351" s="115">
        <v>6510700000</v>
      </c>
      <c r="G351" s="115" t="s">
        <v>1879</v>
      </c>
      <c r="H351" s="110" t="s">
        <v>1880</v>
      </c>
      <c r="I351" s="111" t="s">
        <v>1881</v>
      </c>
      <c r="J351" s="126" t="s">
        <v>1882</v>
      </c>
      <c r="K351" s="111" t="s">
        <v>1861</v>
      </c>
      <c r="L351" s="126" t="s">
        <v>1884</v>
      </c>
      <c r="M351" s="126" t="s">
        <v>1885</v>
      </c>
      <c r="N351" s="126"/>
      <c r="O351" s="109" t="s">
        <v>8</v>
      </c>
      <c r="P351" s="114">
        <v>4.4999999999999997E-3</v>
      </c>
      <c r="Q351" s="107">
        <v>2258.81</v>
      </c>
      <c r="R351" s="107">
        <v>101646.45</v>
      </c>
      <c r="S351" s="107" t="s">
        <v>1886</v>
      </c>
      <c r="T351" s="369"/>
      <c r="U351" s="343">
        <v>9026.24</v>
      </c>
      <c r="V351" s="339">
        <f t="shared" si="81"/>
        <v>9026.24</v>
      </c>
      <c r="W351" s="339">
        <v>8.8800000000000008</v>
      </c>
      <c r="X351" s="333">
        <f t="shared" si="83"/>
        <v>200.58311111111109</v>
      </c>
      <c r="Y351" s="333">
        <f t="shared" si="72"/>
        <v>752.18666666666661</v>
      </c>
      <c r="Z351" s="807"/>
      <c r="AA351" s="861">
        <v>9026.24</v>
      </c>
      <c r="AB351" s="340"/>
      <c r="AC351" s="406"/>
      <c r="AD351" s="459"/>
      <c r="AE351" s="421"/>
      <c r="AF351" s="463"/>
      <c r="AG351" s="459"/>
      <c r="AH351" s="503"/>
      <c r="AI351" s="340"/>
      <c r="AJ351" s="740"/>
      <c r="AK351" s="741"/>
      <c r="AL351" s="732"/>
      <c r="AM351" s="340">
        <f t="shared" si="78"/>
        <v>9026.24</v>
      </c>
      <c r="AN351" s="340">
        <f t="shared" si="79"/>
        <v>9026.24</v>
      </c>
      <c r="AO351" s="468"/>
      <c r="AP351" s="333">
        <f t="shared" si="82"/>
        <v>100</v>
      </c>
      <c r="AQ351" s="521">
        <v>1530.12</v>
      </c>
      <c r="AR351" s="523">
        <v>17.372131836192509</v>
      </c>
      <c r="AS351" s="164" t="s">
        <v>2607</v>
      </c>
      <c r="AT351" s="124" t="s">
        <v>1888</v>
      </c>
      <c r="AU351" s="113" t="s">
        <v>1634</v>
      </c>
    </row>
    <row r="352" spans="1:48" ht="168.75" x14ac:dyDescent="0.25">
      <c r="A352" s="8">
        <v>343</v>
      </c>
      <c r="B352" s="564">
        <v>247</v>
      </c>
      <c r="C352" s="277" t="s">
        <v>3247</v>
      </c>
      <c r="D352" s="265" t="s">
        <v>1925</v>
      </c>
      <c r="E352" s="265">
        <v>2320512744</v>
      </c>
      <c r="F352" s="266">
        <v>6510700000</v>
      </c>
      <c r="G352" s="266" t="s">
        <v>1926</v>
      </c>
      <c r="H352" s="270" t="s">
        <v>1927</v>
      </c>
      <c r="I352" s="271" t="s">
        <v>1928</v>
      </c>
      <c r="J352" s="300" t="s">
        <v>1929</v>
      </c>
      <c r="K352" s="271" t="s">
        <v>1895</v>
      </c>
      <c r="L352" s="300" t="s">
        <v>1930</v>
      </c>
      <c r="M352" s="300" t="s">
        <v>1931</v>
      </c>
      <c r="N352" s="300"/>
      <c r="O352" s="265" t="s">
        <v>8</v>
      </c>
      <c r="P352" s="268">
        <v>1.83E-2</v>
      </c>
      <c r="Q352" s="269">
        <v>798.33</v>
      </c>
      <c r="R352" s="269">
        <f>Q352*183</f>
        <v>146094.39000000001</v>
      </c>
      <c r="S352" s="269" t="s">
        <v>1932</v>
      </c>
      <c r="T352" s="374"/>
      <c r="U352" s="349">
        <v>15486.04</v>
      </c>
      <c r="V352" s="349">
        <f t="shared" si="81"/>
        <v>15486.04</v>
      </c>
      <c r="W352" s="350">
        <v>10.6</v>
      </c>
      <c r="X352" s="350">
        <f t="shared" si="83"/>
        <v>84.623169398907109</v>
      </c>
      <c r="Y352" s="350">
        <f t="shared" si="72"/>
        <v>1290.5033333333333</v>
      </c>
      <c r="Z352" s="807" t="s">
        <v>3523</v>
      </c>
      <c r="AB352" s="358">
        <v>3613.35</v>
      </c>
      <c r="AC352" s="408">
        <v>131.25</v>
      </c>
      <c r="AD352" s="486">
        <v>131.25</v>
      </c>
      <c r="AE352" s="437"/>
      <c r="AF352" s="469"/>
      <c r="AG352" s="486"/>
      <c r="AH352" s="504"/>
      <c r="AI352" s="358"/>
      <c r="AJ352" s="560"/>
      <c r="AK352" s="475"/>
      <c r="AL352" s="766"/>
      <c r="AM352" s="340">
        <f t="shared" si="78"/>
        <v>3875.85</v>
      </c>
      <c r="AN352" s="340">
        <f t="shared" si="79"/>
        <v>3875.85</v>
      </c>
      <c r="AO352" s="468"/>
      <c r="AP352" s="350">
        <f t="shared" si="82"/>
        <v>25.028025240797518</v>
      </c>
      <c r="AQ352" s="690">
        <v>13073.619999999999</v>
      </c>
      <c r="AR352" s="695">
        <v>91.293742698348296</v>
      </c>
      <c r="AS352" s="310" t="s">
        <v>2577</v>
      </c>
      <c r="AT352" s="382" t="s">
        <v>1923</v>
      </c>
      <c r="AU352" s="267" t="s">
        <v>1634</v>
      </c>
    </row>
    <row r="353" spans="1:48" ht="206.25" x14ac:dyDescent="0.25">
      <c r="A353" s="8">
        <v>344</v>
      </c>
      <c r="B353" s="266"/>
      <c r="C353" s="277" t="s">
        <v>3246</v>
      </c>
      <c r="D353" s="265" t="s">
        <v>1925</v>
      </c>
      <c r="E353" s="265">
        <v>2320512744</v>
      </c>
      <c r="F353" s="266">
        <v>6510700000</v>
      </c>
      <c r="G353" s="266" t="s">
        <v>2920</v>
      </c>
      <c r="H353" s="270" t="s">
        <v>2921</v>
      </c>
      <c r="I353" s="271" t="s">
        <v>2922</v>
      </c>
      <c r="J353" s="300" t="s">
        <v>2923</v>
      </c>
      <c r="K353" s="271" t="s">
        <v>2925</v>
      </c>
      <c r="L353" s="300" t="s">
        <v>2924</v>
      </c>
      <c r="M353" s="300">
        <v>43733</v>
      </c>
      <c r="N353" s="300"/>
      <c r="O353" s="265" t="s">
        <v>8</v>
      </c>
      <c r="P353" s="268">
        <v>2.01E-2</v>
      </c>
      <c r="Q353" s="269">
        <f>R353/201</f>
        <v>1284.05</v>
      </c>
      <c r="R353" s="269">
        <v>258094.05</v>
      </c>
      <c r="S353" s="269" t="s">
        <v>2926</v>
      </c>
      <c r="T353" s="374">
        <v>27874.21</v>
      </c>
      <c r="U353" s="349">
        <v>27874.21</v>
      </c>
      <c r="V353" s="349">
        <f t="shared" si="81"/>
        <v>27874.21</v>
      </c>
      <c r="W353" s="350">
        <v>10.8</v>
      </c>
      <c r="X353" s="350">
        <f>U353/(P353*10000)</f>
        <v>138.67766169154228</v>
      </c>
      <c r="Y353" s="350">
        <f t="shared" si="72"/>
        <v>2322.8508333333334</v>
      </c>
      <c r="Z353" s="807"/>
      <c r="AA353" s="855">
        <v>3595.35</v>
      </c>
      <c r="AB353" s="358"/>
      <c r="AC353" s="408">
        <v>3613.35</v>
      </c>
      <c r="AD353" s="486">
        <v>3613.35</v>
      </c>
      <c r="AE353" s="437"/>
      <c r="AF353" s="469"/>
      <c r="AG353" s="486"/>
      <c r="AH353" s="504"/>
      <c r="AI353" s="358"/>
      <c r="AJ353" s="765"/>
      <c r="AK353" s="750"/>
      <c r="AL353" s="766"/>
      <c r="AM353" s="340">
        <f t="shared" si="78"/>
        <v>10822.05</v>
      </c>
      <c r="AN353" s="340">
        <f>SUM(AA353:AL353)</f>
        <v>10822.05</v>
      </c>
      <c r="AO353" s="468"/>
      <c r="AP353" s="350">
        <f t="shared" si="82"/>
        <v>38.824598078295317</v>
      </c>
      <c r="AQ353" s="690">
        <v>6672.57</v>
      </c>
      <c r="AR353" s="695">
        <v>89.768091999052885</v>
      </c>
      <c r="AS353" s="310">
        <v>45553</v>
      </c>
      <c r="AT353" s="382" t="s">
        <v>1923</v>
      </c>
      <c r="AU353" s="267" t="s">
        <v>1634</v>
      </c>
    </row>
    <row r="354" spans="1:48" ht="168.75" x14ac:dyDescent="0.25">
      <c r="A354" s="8">
        <v>345</v>
      </c>
      <c r="B354" s="266">
        <v>248</v>
      </c>
      <c r="C354" s="98" t="s">
        <v>2809</v>
      </c>
      <c r="D354" s="10" t="s">
        <v>2838</v>
      </c>
      <c r="E354" s="9">
        <v>2679419368</v>
      </c>
      <c r="F354" s="9">
        <v>6510700000</v>
      </c>
      <c r="G354" s="9" t="s">
        <v>1334</v>
      </c>
      <c r="H354" s="19" t="s">
        <v>1335</v>
      </c>
      <c r="I354" s="75" t="s">
        <v>3353</v>
      </c>
      <c r="J354" s="33" t="s">
        <v>1336</v>
      </c>
      <c r="K354" s="75" t="s">
        <v>3354</v>
      </c>
      <c r="L354" s="33">
        <v>40573200113</v>
      </c>
      <c r="M354" s="60">
        <v>38715</v>
      </c>
      <c r="N354" s="33"/>
      <c r="O354" s="10" t="s">
        <v>8</v>
      </c>
      <c r="P354" s="27" t="s">
        <v>1576</v>
      </c>
      <c r="Q354" s="579">
        <f>R354/154</f>
        <v>2043.2299999999998</v>
      </c>
      <c r="R354" s="579">
        <v>314657.42</v>
      </c>
      <c r="S354" s="579" t="s">
        <v>3355</v>
      </c>
      <c r="T354" s="368"/>
      <c r="U354" s="336">
        <f t="shared" si="80"/>
        <v>25172.5936</v>
      </c>
      <c r="V354" s="333">
        <f t="shared" si="81"/>
        <v>25172.5936</v>
      </c>
      <c r="W354" s="333">
        <v>8</v>
      </c>
      <c r="X354" s="333">
        <f>V354/(P354*10000)</f>
        <v>163.45840000000001</v>
      </c>
      <c r="Y354" s="333">
        <f t="shared" si="72"/>
        <v>2097.7161333333333</v>
      </c>
      <c r="Z354" s="807"/>
      <c r="AA354" s="711">
        <v>3402.01</v>
      </c>
      <c r="AB354" s="340">
        <v>3402.01</v>
      </c>
      <c r="AC354" s="406"/>
      <c r="AD354" s="459"/>
      <c r="AE354" s="421"/>
      <c r="AF354" s="463"/>
      <c r="AG354" s="459"/>
      <c r="AH354" s="503"/>
      <c r="AI354" s="340"/>
      <c r="AJ354" s="740"/>
      <c r="AK354" s="741"/>
      <c r="AL354" s="732"/>
      <c r="AM354" s="340">
        <f t="shared" si="78"/>
        <v>6804.02</v>
      </c>
      <c r="AN354" s="340">
        <f t="shared" si="79"/>
        <v>6804.02</v>
      </c>
      <c r="AO354" s="468"/>
      <c r="AP354" s="333">
        <f t="shared" si="82"/>
        <v>27.029475421237485</v>
      </c>
      <c r="AQ354" s="192">
        <v>27212.799999999996</v>
      </c>
      <c r="AR354" s="416">
        <v>108.12603930974034</v>
      </c>
      <c r="AS354" s="140">
        <v>56612</v>
      </c>
      <c r="AT354" s="10" t="s">
        <v>1843</v>
      </c>
      <c r="AU354" s="13" t="s">
        <v>1713</v>
      </c>
    </row>
    <row r="355" spans="1:48" ht="243.75" x14ac:dyDescent="0.25">
      <c r="A355" s="8">
        <v>346</v>
      </c>
      <c r="B355" s="8">
        <v>249</v>
      </c>
      <c r="C355" s="119" t="s">
        <v>2698</v>
      </c>
      <c r="D355" s="109" t="s">
        <v>2695</v>
      </c>
      <c r="E355" s="115">
        <v>2975111248</v>
      </c>
      <c r="F355" s="115">
        <v>6510700000</v>
      </c>
      <c r="G355" s="115" t="s">
        <v>1337</v>
      </c>
      <c r="H355" s="328" t="s">
        <v>885</v>
      </c>
      <c r="I355" s="113" t="s">
        <v>2360</v>
      </c>
      <c r="J355" s="112" t="s">
        <v>2696</v>
      </c>
      <c r="K355" s="113" t="s">
        <v>2361</v>
      </c>
      <c r="L355" s="112"/>
      <c r="M355" s="112">
        <v>41893</v>
      </c>
      <c r="N355" s="487"/>
      <c r="O355" s="109" t="s">
        <v>8</v>
      </c>
      <c r="P355" s="298">
        <v>3.0000000000000001E-3</v>
      </c>
      <c r="Q355" s="131">
        <v>1026.54</v>
      </c>
      <c r="R355" s="107">
        <v>30796.199999999997</v>
      </c>
      <c r="S355" s="107" t="s">
        <v>3408</v>
      </c>
      <c r="T355" s="369"/>
      <c r="U355" s="344">
        <f t="shared" si="80"/>
        <v>307.96199999999999</v>
      </c>
      <c r="V355" s="345">
        <f t="shared" si="81"/>
        <v>307.96199999999999</v>
      </c>
      <c r="W355" s="345">
        <v>1</v>
      </c>
      <c r="X355" s="345">
        <f>V355/(P355*10000)</f>
        <v>10.2654</v>
      </c>
      <c r="Y355" s="345">
        <f t="shared" si="72"/>
        <v>25.663499999999999</v>
      </c>
      <c r="Z355" s="807">
        <v>309.26</v>
      </c>
      <c r="AA355" s="852"/>
      <c r="AB355" s="359"/>
      <c r="AC355" s="407"/>
      <c r="AD355" s="483"/>
      <c r="AE355" s="422"/>
      <c r="AF355" s="462"/>
      <c r="AG355" s="483"/>
      <c r="AH355" s="502"/>
      <c r="AI355" s="359"/>
      <c r="AJ355" s="751"/>
      <c r="AK355" s="529"/>
      <c r="AL355" s="752"/>
      <c r="AM355" s="340">
        <f t="shared" si="78"/>
        <v>309.26</v>
      </c>
      <c r="AN355" s="340">
        <f t="shared" si="79"/>
        <v>0</v>
      </c>
      <c r="AO355" s="468"/>
      <c r="AP355" s="345">
        <f t="shared" si="82"/>
        <v>100.4214805722784</v>
      </c>
      <c r="AQ355" s="521">
        <v>307.95999999999998</v>
      </c>
      <c r="AR355" s="523">
        <v>99.999350569226067</v>
      </c>
      <c r="AS355" s="164">
        <v>44844</v>
      </c>
      <c r="AT355" s="118" t="s">
        <v>1957</v>
      </c>
      <c r="AU355" s="113" t="s">
        <v>1850</v>
      </c>
    </row>
    <row r="356" spans="1:48" ht="112.5" x14ac:dyDescent="0.25">
      <c r="A356" s="8">
        <v>347</v>
      </c>
      <c r="B356" s="115">
        <v>250</v>
      </c>
      <c r="C356" s="119" t="s">
        <v>1856</v>
      </c>
      <c r="D356" s="109" t="s">
        <v>2035</v>
      </c>
      <c r="E356" s="109">
        <v>3082516681</v>
      </c>
      <c r="F356" s="115">
        <v>6510700000</v>
      </c>
      <c r="G356" s="115" t="s">
        <v>1338</v>
      </c>
      <c r="H356" s="328" t="s">
        <v>1339</v>
      </c>
      <c r="I356" s="113" t="s">
        <v>2036</v>
      </c>
      <c r="J356" s="113" t="s">
        <v>2678</v>
      </c>
      <c r="K356" s="113" t="s">
        <v>2697</v>
      </c>
      <c r="L356" s="113" t="s">
        <v>1340</v>
      </c>
      <c r="M356" s="112" t="s">
        <v>1341</v>
      </c>
      <c r="N356" s="113" t="s">
        <v>2037</v>
      </c>
      <c r="O356" s="109" t="s">
        <v>8</v>
      </c>
      <c r="P356" s="298">
        <v>4.3E-3</v>
      </c>
      <c r="Q356" s="131">
        <v>931.19</v>
      </c>
      <c r="R356" s="107">
        <f>Q356*43</f>
        <v>40041.170000000006</v>
      </c>
      <c r="S356" s="107" t="s">
        <v>2038</v>
      </c>
      <c r="T356" s="369"/>
      <c r="U356" s="344">
        <f>R356*W356%</f>
        <v>4404.5287000000008</v>
      </c>
      <c r="V356" s="344">
        <f t="shared" si="81"/>
        <v>4404.5287000000008</v>
      </c>
      <c r="W356" s="344">
        <v>11</v>
      </c>
      <c r="X356" s="344">
        <f t="shared" ref="X356:X373" si="84">V356/(P356*10000)</f>
        <v>102.43090000000002</v>
      </c>
      <c r="Y356" s="344">
        <f t="shared" si="72"/>
        <v>367.0440583333334</v>
      </c>
      <c r="Z356" s="840"/>
      <c r="AA356" s="529">
        <v>1739.66</v>
      </c>
      <c r="AB356" s="364"/>
      <c r="AC356" s="407">
        <v>1739.66</v>
      </c>
      <c r="AD356" s="483"/>
      <c r="AE356" s="422"/>
      <c r="AF356" s="462"/>
      <c r="AG356" s="483"/>
      <c r="AH356" s="502"/>
      <c r="AI356" s="364"/>
      <c r="AJ356" s="751"/>
      <c r="AK356" s="529"/>
      <c r="AL356" s="756"/>
      <c r="AM356" s="340">
        <f t="shared" si="78"/>
        <v>3479.32</v>
      </c>
      <c r="AN356" s="340">
        <f t="shared" si="79"/>
        <v>3479.32</v>
      </c>
      <c r="AO356" s="468"/>
      <c r="AP356" s="344">
        <f t="shared" si="82"/>
        <v>78.994149816755638</v>
      </c>
      <c r="AQ356" s="521">
        <v>4486.1500000000005</v>
      </c>
      <c r="AR356" s="523">
        <v>101.85312221941021</v>
      </c>
      <c r="AS356" s="164" t="s">
        <v>2556</v>
      </c>
      <c r="AT356" s="120" t="s">
        <v>1752</v>
      </c>
      <c r="AU356" s="113" t="s">
        <v>1634</v>
      </c>
      <c r="AV356" s="480"/>
    </row>
    <row r="357" spans="1:48" ht="337.5" x14ac:dyDescent="0.25">
      <c r="A357" s="8">
        <v>348</v>
      </c>
      <c r="B357" s="8">
        <v>251</v>
      </c>
      <c r="C357" s="96" t="s">
        <v>1342</v>
      </c>
      <c r="D357" s="10" t="s">
        <v>1343</v>
      </c>
      <c r="E357" s="9">
        <v>2420101704</v>
      </c>
      <c r="F357" s="9">
        <v>6510700000</v>
      </c>
      <c r="G357" s="9" t="s">
        <v>1344</v>
      </c>
      <c r="H357" s="19" t="s">
        <v>3446</v>
      </c>
      <c r="I357" s="75" t="s">
        <v>1346</v>
      </c>
      <c r="J357" s="10" t="s">
        <v>1345</v>
      </c>
      <c r="K357" s="13" t="s">
        <v>1346</v>
      </c>
      <c r="L357" s="10" t="s">
        <v>1347</v>
      </c>
      <c r="M357" s="20">
        <v>41990</v>
      </c>
      <c r="N357" s="10" t="s">
        <v>3459</v>
      </c>
      <c r="O357" s="10" t="s">
        <v>8</v>
      </c>
      <c r="P357" s="21">
        <v>0.26700000000000002</v>
      </c>
      <c r="Q357" s="22">
        <f>R357/2670</f>
        <v>1595.54</v>
      </c>
      <c r="R357" s="68">
        <v>4260091.8</v>
      </c>
      <c r="S357" s="12" t="s">
        <v>3405</v>
      </c>
      <c r="T357" s="368"/>
      <c r="U357" s="336">
        <f t="shared" si="80"/>
        <v>44730.963900000002</v>
      </c>
      <c r="V357" s="332">
        <f t="shared" si="81"/>
        <v>44730.963900000002</v>
      </c>
      <c r="W357" s="332">
        <v>1.05</v>
      </c>
      <c r="X357" s="332">
        <f t="shared" si="84"/>
        <v>16.753170000000001</v>
      </c>
      <c r="Y357" s="332">
        <f t="shared" si="72"/>
        <v>3727.5803250000004</v>
      </c>
      <c r="Z357" s="840"/>
      <c r="AA357" s="741">
        <v>6900</v>
      </c>
      <c r="AB357" s="342">
        <v>15111.27</v>
      </c>
      <c r="AC357" s="406">
        <v>9681.16</v>
      </c>
      <c r="AD357" s="459"/>
      <c r="AE357" s="342"/>
      <c r="AF357" s="741"/>
      <c r="AG357" s="342"/>
      <c r="AH357" s="342"/>
      <c r="AI357" s="342"/>
      <c r="AJ357" s="796"/>
      <c r="AK357" s="741"/>
      <c r="AL357" s="758"/>
      <c r="AM357" s="340">
        <f t="shared" si="78"/>
        <v>31692.43</v>
      </c>
      <c r="AN357" s="340">
        <f t="shared" si="79"/>
        <v>31692.43</v>
      </c>
      <c r="AO357" s="468"/>
      <c r="AP357" s="332">
        <f t="shared" si="82"/>
        <v>70.85121186042673</v>
      </c>
      <c r="AQ357" s="730">
        <v>68250.48</v>
      </c>
      <c r="AR357" s="722">
        <v>100.15506977435463</v>
      </c>
      <c r="AS357" s="140" t="s">
        <v>2592</v>
      </c>
      <c r="AT357" s="23" t="s">
        <v>1844</v>
      </c>
      <c r="AU357" s="13" t="s">
        <v>1634</v>
      </c>
    </row>
    <row r="358" spans="1:48" ht="150" x14ac:dyDescent="0.25">
      <c r="A358" s="8">
        <v>349</v>
      </c>
      <c r="B358" s="115"/>
      <c r="C358" s="108" t="s">
        <v>3232</v>
      </c>
      <c r="D358" s="109" t="s">
        <v>1343</v>
      </c>
      <c r="E358" s="115">
        <v>2420101704</v>
      </c>
      <c r="F358" s="115">
        <v>6510700000</v>
      </c>
      <c r="G358" s="115" t="s">
        <v>1348</v>
      </c>
      <c r="H358" s="110" t="s">
        <v>3233</v>
      </c>
      <c r="I358" s="111" t="s">
        <v>1375</v>
      </c>
      <c r="J358" s="112" t="s">
        <v>3099</v>
      </c>
      <c r="K358" s="113" t="s">
        <v>3100</v>
      </c>
      <c r="L358" s="112" t="s">
        <v>3101</v>
      </c>
      <c r="M358" s="112" t="s">
        <v>3102</v>
      </c>
      <c r="N358" s="112" t="s">
        <v>3234</v>
      </c>
      <c r="O358" s="109" t="s">
        <v>8</v>
      </c>
      <c r="P358" s="122">
        <v>2.58E-2</v>
      </c>
      <c r="Q358" s="116">
        <f>R358/258</f>
        <v>1595.57</v>
      </c>
      <c r="R358" s="107">
        <v>411657.06</v>
      </c>
      <c r="S358" s="107" t="s">
        <v>3103</v>
      </c>
      <c r="T358" s="369"/>
      <c r="U358" s="353">
        <f t="shared" si="80"/>
        <v>32932.5648</v>
      </c>
      <c r="V358" s="353">
        <f t="shared" si="81"/>
        <v>32932.5648</v>
      </c>
      <c r="W358" s="353">
        <v>8</v>
      </c>
      <c r="X358" s="345">
        <f t="shared" si="84"/>
        <v>127.6456</v>
      </c>
      <c r="Y358" s="345">
        <f t="shared" si="72"/>
        <v>2744.3804</v>
      </c>
      <c r="Z358" s="807"/>
      <c r="AA358" s="852">
        <v>8211.27</v>
      </c>
      <c r="AB358" s="359"/>
      <c r="AC358" s="407"/>
      <c r="AD358" s="483"/>
      <c r="AE358" s="422"/>
      <c r="AF358" s="462"/>
      <c r="AG358" s="483"/>
      <c r="AH358" s="797"/>
      <c r="AI358" s="359"/>
      <c r="AJ358" s="751"/>
      <c r="AK358" s="529"/>
      <c r="AL358" s="752"/>
      <c r="AM358" s="340">
        <f t="shared" si="78"/>
        <v>8211.27</v>
      </c>
      <c r="AN358" s="340">
        <f t="shared" si="79"/>
        <v>8211.27</v>
      </c>
      <c r="AO358" s="468"/>
      <c r="AP358" s="345">
        <f t="shared" si="82"/>
        <v>24.933587923889853</v>
      </c>
      <c r="AQ358" s="521">
        <v>34125.24</v>
      </c>
      <c r="AR358" s="523">
        <v>103.62156791383585</v>
      </c>
      <c r="AS358" s="164">
        <v>44795</v>
      </c>
      <c r="AT358" s="124" t="s">
        <v>1845</v>
      </c>
      <c r="AU358" s="113" t="s">
        <v>1634</v>
      </c>
    </row>
    <row r="359" spans="1:48" ht="131.25" x14ac:dyDescent="0.25">
      <c r="A359" s="8">
        <v>350</v>
      </c>
      <c r="B359" s="9"/>
      <c r="C359" s="96" t="s">
        <v>1577</v>
      </c>
      <c r="D359" s="10" t="s">
        <v>1343</v>
      </c>
      <c r="E359" s="9">
        <v>2420101704</v>
      </c>
      <c r="F359" s="9">
        <v>6510700000</v>
      </c>
      <c r="G359" s="9" t="s">
        <v>1350</v>
      </c>
      <c r="H359" s="9" t="s">
        <v>1349</v>
      </c>
      <c r="I359" s="75" t="s">
        <v>1351</v>
      </c>
      <c r="J359" s="139" t="s">
        <v>1578</v>
      </c>
      <c r="K359" s="13" t="s">
        <v>1579</v>
      </c>
      <c r="L359" s="139" t="s">
        <v>1580</v>
      </c>
      <c r="M359" s="323" t="s">
        <v>1581</v>
      </c>
      <c r="N359" s="10"/>
      <c r="O359" s="10" t="s">
        <v>8</v>
      </c>
      <c r="P359" s="21">
        <v>2.3999999999999998E-3</v>
      </c>
      <c r="Q359" s="22">
        <f>R359/24</f>
        <v>1595.5399999999997</v>
      </c>
      <c r="R359" s="68">
        <v>38292.959999999992</v>
      </c>
      <c r="S359" s="12" t="s">
        <v>97</v>
      </c>
      <c r="T359" s="368"/>
      <c r="U359" s="343">
        <f t="shared" si="80"/>
        <v>3063.4367999999995</v>
      </c>
      <c r="V359" s="339">
        <f t="shared" si="81"/>
        <v>3063.4367999999995</v>
      </c>
      <c r="W359" s="339">
        <v>8</v>
      </c>
      <c r="X359" s="333">
        <f t="shared" si="84"/>
        <v>127.64319999999999</v>
      </c>
      <c r="Y359" s="333">
        <f t="shared" si="72"/>
        <v>255.28639999999996</v>
      </c>
      <c r="Z359" s="807"/>
      <c r="AA359" s="711"/>
      <c r="AB359" s="340"/>
      <c r="AC359" s="406"/>
      <c r="AD359" s="459"/>
      <c r="AE359" s="421"/>
      <c r="AF359" s="463"/>
      <c r="AG359" s="459"/>
      <c r="AH359" s="503"/>
      <c r="AI359" s="793"/>
      <c r="AJ359" s="740"/>
      <c r="AK359" s="750"/>
      <c r="AL359" s="732"/>
      <c r="AM359" s="340">
        <f t="shared" si="78"/>
        <v>0</v>
      </c>
      <c r="AN359" s="340">
        <f t="shared" si="79"/>
        <v>0</v>
      </c>
      <c r="AO359" s="468"/>
      <c r="AP359" s="333">
        <f t="shared" si="82"/>
        <v>0</v>
      </c>
      <c r="AQ359" s="192">
        <v>3412.52</v>
      </c>
      <c r="AR359" s="416">
        <v>111.39514939560694</v>
      </c>
      <c r="AS359" s="166">
        <v>44109</v>
      </c>
      <c r="AT359" s="23" t="s">
        <v>1845</v>
      </c>
      <c r="AU359" s="13" t="s">
        <v>1634</v>
      </c>
    </row>
    <row r="360" spans="1:48" ht="131.25" x14ac:dyDescent="0.25">
      <c r="A360" s="8">
        <v>351</v>
      </c>
      <c r="B360" s="9"/>
      <c r="C360" s="96" t="s">
        <v>1582</v>
      </c>
      <c r="D360" s="10" t="s">
        <v>1343</v>
      </c>
      <c r="E360" s="9">
        <v>2420101704</v>
      </c>
      <c r="F360" s="9">
        <v>6510700000</v>
      </c>
      <c r="G360" s="9" t="s">
        <v>1352</v>
      </c>
      <c r="H360" s="35" t="s">
        <v>1349</v>
      </c>
      <c r="I360" s="75" t="s">
        <v>1351</v>
      </c>
      <c r="J360" s="139" t="s">
        <v>1583</v>
      </c>
      <c r="K360" s="13" t="s">
        <v>1579</v>
      </c>
      <c r="L360" s="139" t="s">
        <v>1584</v>
      </c>
      <c r="M360" s="323" t="s">
        <v>1581</v>
      </c>
      <c r="N360" s="10"/>
      <c r="O360" s="10" t="s">
        <v>8</v>
      </c>
      <c r="P360" s="21">
        <v>4.0000000000000001E-3</v>
      </c>
      <c r="Q360" s="22">
        <v>1595.54</v>
      </c>
      <c r="R360" s="68">
        <v>63821.599999999999</v>
      </c>
      <c r="S360" s="12" t="s">
        <v>1353</v>
      </c>
      <c r="T360" s="368"/>
      <c r="U360" s="343">
        <f t="shared" si="80"/>
        <v>5105.7280000000001</v>
      </c>
      <c r="V360" s="339">
        <f t="shared" si="81"/>
        <v>5105.7280000000001</v>
      </c>
      <c r="W360" s="339">
        <v>8</v>
      </c>
      <c r="X360" s="333">
        <f t="shared" si="84"/>
        <v>127.64320000000001</v>
      </c>
      <c r="Y360" s="333">
        <f t="shared" si="72"/>
        <v>425.47733333333332</v>
      </c>
      <c r="Z360" s="807"/>
      <c r="AA360" s="711"/>
      <c r="AB360" s="340"/>
      <c r="AC360" s="406"/>
      <c r="AD360" s="459"/>
      <c r="AE360" s="421"/>
      <c r="AF360" s="463"/>
      <c r="AG360" s="459"/>
      <c r="AH360" s="503"/>
      <c r="AI360" s="340"/>
      <c r="AJ360" s="740"/>
      <c r="AK360" s="750"/>
      <c r="AL360" s="732"/>
      <c r="AM360" s="340">
        <f t="shared" si="78"/>
        <v>0</v>
      </c>
      <c r="AN360" s="340">
        <f t="shared" si="79"/>
        <v>0</v>
      </c>
      <c r="AO360" s="468"/>
      <c r="AP360" s="333">
        <f t="shared" si="82"/>
        <v>0</v>
      </c>
      <c r="AQ360" s="192">
        <v>3412.52</v>
      </c>
      <c r="AR360" s="416">
        <v>66.837089637364159</v>
      </c>
      <c r="AS360" s="166">
        <v>44109</v>
      </c>
      <c r="AT360" s="23" t="s">
        <v>1845</v>
      </c>
      <c r="AU360" s="13" t="s">
        <v>1634</v>
      </c>
    </row>
    <row r="361" spans="1:48" ht="131.25" x14ac:dyDescent="0.25">
      <c r="A361" s="8">
        <v>352</v>
      </c>
      <c r="B361" s="9"/>
      <c r="C361" s="96" t="s">
        <v>1585</v>
      </c>
      <c r="D361" s="10" t="s">
        <v>1343</v>
      </c>
      <c r="E361" s="9">
        <v>2420101704</v>
      </c>
      <c r="F361" s="9">
        <v>6510700000</v>
      </c>
      <c r="G361" s="9" t="s">
        <v>1354</v>
      </c>
      <c r="H361" s="35" t="s">
        <v>1349</v>
      </c>
      <c r="I361" s="75" t="s">
        <v>1351</v>
      </c>
      <c r="J361" s="139" t="s">
        <v>1586</v>
      </c>
      <c r="K361" s="13" t="s">
        <v>1579</v>
      </c>
      <c r="L361" s="10" t="s">
        <v>1587</v>
      </c>
      <c r="M361" s="323" t="s">
        <v>1588</v>
      </c>
      <c r="N361" s="10"/>
      <c r="O361" s="10" t="s">
        <v>8</v>
      </c>
      <c r="P361" s="21">
        <v>2.8E-3</v>
      </c>
      <c r="Q361" s="22">
        <v>1595.54</v>
      </c>
      <c r="R361" s="68">
        <v>44675.119999999995</v>
      </c>
      <c r="S361" s="12" t="s">
        <v>1355</v>
      </c>
      <c r="T361" s="368"/>
      <c r="U361" s="343">
        <f t="shared" si="80"/>
        <v>3574.0095999999999</v>
      </c>
      <c r="V361" s="339">
        <f t="shared" si="81"/>
        <v>3574.0095999999999</v>
      </c>
      <c r="W361" s="339">
        <v>8</v>
      </c>
      <c r="X361" s="333">
        <f t="shared" si="84"/>
        <v>127.64319999999999</v>
      </c>
      <c r="Y361" s="333">
        <f t="shared" si="72"/>
        <v>297.83413333333334</v>
      </c>
      <c r="Z361" s="807"/>
      <c r="AA361" s="711"/>
      <c r="AB361" s="340"/>
      <c r="AC361" s="406"/>
      <c r="AD361" s="459"/>
      <c r="AE361" s="421"/>
      <c r="AF361" s="463"/>
      <c r="AG361" s="459"/>
      <c r="AH361" s="503"/>
      <c r="AI361" s="340"/>
      <c r="AJ361" s="740"/>
      <c r="AK361" s="750"/>
      <c r="AL361" s="732"/>
      <c r="AM361" s="340">
        <f t="shared" si="78"/>
        <v>0</v>
      </c>
      <c r="AN361" s="340">
        <f t="shared" si="79"/>
        <v>0</v>
      </c>
      <c r="AO361" s="468"/>
      <c r="AP361" s="333">
        <f t="shared" si="82"/>
        <v>0</v>
      </c>
      <c r="AQ361" s="192">
        <v>6802.52</v>
      </c>
      <c r="AR361" s="460">
        <v>190.33300861866741</v>
      </c>
      <c r="AS361" s="166">
        <v>43378</v>
      </c>
      <c r="AT361" s="23" t="s">
        <v>1845</v>
      </c>
      <c r="AU361" s="13" t="s">
        <v>1634</v>
      </c>
      <c r="AV361" s="500"/>
    </row>
    <row r="362" spans="1:48" ht="131.25" x14ac:dyDescent="0.25">
      <c r="A362" s="8">
        <v>353</v>
      </c>
      <c r="B362" s="9"/>
      <c r="C362" s="96" t="s">
        <v>1589</v>
      </c>
      <c r="D362" s="10" t="s">
        <v>1343</v>
      </c>
      <c r="E362" s="9">
        <v>2420101704</v>
      </c>
      <c r="F362" s="9">
        <v>6510700000</v>
      </c>
      <c r="G362" s="9" t="s">
        <v>1356</v>
      </c>
      <c r="H362" s="19" t="s">
        <v>1357</v>
      </c>
      <c r="I362" s="75" t="s">
        <v>1351</v>
      </c>
      <c r="J362" s="139" t="s">
        <v>1590</v>
      </c>
      <c r="K362" s="13" t="s">
        <v>1579</v>
      </c>
      <c r="L362" s="180" t="s">
        <v>1591</v>
      </c>
      <c r="M362" s="323" t="s">
        <v>1588</v>
      </c>
      <c r="N362" s="10"/>
      <c r="O362" s="10" t="s">
        <v>8</v>
      </c>
      <c r="P362" s="21">
        <v>3.0999999999999999E-3</v>
      </c>
      <c r="Q362" s="22">
        <v>1595.54</v>
      </c>
      <c r="R362" s="68">
        <v>49461.74</v>
      </c>
      <c r="S362" s="12" t="s">
        <v>97</v>
      </c>
      <c r="T362" s="368"/>
      <c r="U362" s="343">
        <f t="shared" si="80"/>
        <v>3956.9391999999998</v>
      </c>
      <c r="V362" s="339">
        <f t="shared" si="81"/>
        <v>3956.9391999999998</v>
      </c>
      <c r="W362" s="339">
        <v>8</v>
      </c>
      <c r="X362" s="333">
        <f t="shared" si="84"/>
        <v>127.64319999999999</v>
      </c>
      <c r="Y362" s="333">
        <f t="shared" ref="Y362:Y374" si="85">V362/12</f>
        <v>329.74493333333334</v>
      </c>
      <c r="Z362" s="807"/>
      <c r="AA362" s="711"/>
      <c r="AB362" s="340"/>
      <c r="AC362" s="406"/>
      <c r="AD362" s="459"/>
      <c r="AE362" s="421"/>
      <c r="AF362" s="463"/>
      <c r="AG362" s="459"/>
      <c r="AH362" s="503"/>
      <c r="AI362" s="340"/>
      <c r="AJ362" s="740"/>
      <c r="AK362" s="750"/>
      <c r="AL362" s="732"/>
      <c r="AM362" s="340">
        <f t="shared" si="78"/>
        <v>0</v>
      </c>
      <c r="AN362" s="340">
        <f t="shared" si="79"/>
        <v>0</v>
      </c>
      <c r="AO362" s="468"/>
      <c r="AP362" s="333">
        <f t="shared" si="82"/>
        <v>0</v>
      </c>
      <c r="AQ362" s="192">
        <v>5512.52</v>
      </c>
      <c r="AR362" s="416">
        <v>139.31272939447743</v>
      </c>
      <c r="AS362" s="166">
        <v>44109</v>
      </c>
      <c r="AT362" s="23" t="s">
        <v>1845</v>
      </c>
      <c r="AU362" s="13" t="s">
        <v>1634</v>
      </c>
    </row>
    <row r="363" spans="1:48" ht="131.25" x14ac:dyDescent="0.25">
      <c r="A363" s="8">
        <v>354</v>
      </c>
      <c r="B363" s="9"/>
      <c r="C363" s="96" t="s">
        <v>1342</v>
      </c>
      <c r="D363" s="10" t="s">
        <v>1343</v>
      </c>
      <c r="E363" s="9">
        <v>2420101704</v>
      </c>
      <c r="F363" s="9">
        <v>6510700000</v>
      </c>
      <c r="G363" s="9" t="s">
        <v>1358</v>
      </c>
      <c r="H363" s="19" t="s">
        <v>1357</v>
      </c>
      <c r="I363" s="75" t="s">
        <v>1351</v>
      </c>
      <c r="J363" s="10" t="s">
        <v>1359</v>
      </c>
      <c r="K363" s="13" t="s">
        <v>1579</v>
      </c>
      <c r="L363" s="10" t="s">
        <v>1360</v>
      </c>
      <c r="M363" s="20" t="s">
        <v>1267</v>
      </c>
      <c r="N363" s="10"/>
      <c r="O363" s="10" t="s">
        <v>8</v>
      </c>
      <c r="P363" s="21">
        <v>0.05</v>
      </c>
      <c r="Q363" s="22">
        <v>1595.54</v>
      </c>
      <c r="R363" s="68">
        <v>797770</v>
      </c>
      <c r="S363" s="12" t="s">
        <v>1361</v>
      </c>
      <c r="T363" s="368"/>
      <c r="U363" s="343">
        <f t="shared" si="80"/>
        <v>63821.599999999999</v>
      </c>
      <c r="V363" s="339">
        <f t="shared" si="81"/>
        <v>63821.599999999999</v>
      </c>
      <c r="W363" s="339">
        <v>8</v>
      </c>
      <c r="X363" s="333">
        <f t="shared" si="84"/>
        <v>127.64319999999999</v>
      </c>
      <c r="Y363" s="333">
        <f t="shared" si="85"/>
        <v>5318.4666666666662</v>
      </c>
      <c r="Z363" s="807"/>
      <c r="AA363" s="711"/>
      <c r="AB363" s="340"/>
      <c r="AC363" s="406"/>
      <c r="AD363" s="459"/>
      <c r="AE363" s="421"/>
      <c r="AF363" s="463"/>
      <c r="AG363" s="459"/>
      <c r="AH363" s="503"/>
      <c r="AI363" s="340"/>
      <c r="AJ363" s="740"/>
      <c r="AK363" s="750"/>
      <c r="AL363" s="732"/>
      <c r="AM363" s="340">
        <f t="shared" si="78"/>
        <v>0</v>
      </c>
      <c r="AN363" s="340">
        <f t="shared" si="79"/>
        <v>0</v>
      </c>
      <c r="AO363" s="468"/>
      <c r="AP363" s="333">
        <f t="shared" si="82"/>
        <v>0</v>
      </c>
      <c r="AQ363" s="192">
        <v>71663</v>
      </c>
      <c r="AR363" s="416">
        <v>112.28643594018327</v>
      </c>
      <c r="AS363" s="166">
        <v>44109</v>
      </c>
      <c r="AT363" s="23" t="s">
        <v>1845</v>
      </c>
      <c r="AU363" s="13" t="s">
        <v>1634</v>
      </c>
    </row>
    <row r="364" spans="1:48" ht="131.25" x14ac:dyDescent="0.25">
      <c r="A364" s="8">
        <v>355</v>
      </c>
      <c r="B364" s="9"/>
      <c r="C364" s="96" t="s">
        <v>3283</v>
      </c>
      <c r="D364" s="10" t="s">
        <v>1343</v>
      </c>
      <c r="E364" s="9">
        <v>2420101704</v>
      </c>
      <c r="F364" s="9">
        <v>6510700000</v>
      </c>
      <c r="G364" s="9" t="s">
        <v>1362</v>
      </c>
      <c r="H364" s="19" t="s">
        <v>1357</v>
      </c>
      <c r="I364" s="75" t="s">
        <v>1351</v>
      </c>
      <c r="J364" s="10" t="s">
        <v>3284</v>
      </c>
      <c r="K364" s="13" t="s">
        <v>1579</v>
      </c>
      <c r="L364" s="10" t="s">
        <v>1363</v>
      </c>
      <c r="M364" s="20" t="s">
        <v>3285</v>
      </c>
      <c r="N364" s="10"/>
      <c r="O364" s="10" t="s">
        <v>8</v>
      </c>
      <c r="P364" s="21">
        <v>3.5999999999999999E-3</v>
      </c>
      <c r="Q364" s="22">
        <v>1595.54</v>
      </c>
      <c r="R364" s="68">
        <v>57439.44</v>
      </c>
      <c r="S364" s="12" t="s">
        <v>1364</v>
      </c>
      <c r="T364" s="368"/>
      <c r="U364" s="336">
        <f t="shared" si="80"/>
        <v>4595.1552000000001</v>
      </c>
      <c r="V364" s="332">
        <f t="shared" si="81"/>
        <v>4595.1552000000001</v>
      </c>
      <c r="W364" s="332">
        <v>8</v>
      </c>
      <c r="X364" s="332">
        <f t="shared" si="84"/>
        <v>127.64320000000001</v>
      </c>
      <c r="Y364" s="332">
        <f t="shared" si="85"/>
        <v>382.92959999999999</v>
      </c>
      <c r="Z364" s="840"/>
      <c r="AA364" s="741"/>
      <c r="AB364" s="342"/>
      <c r="AC364" s="406"/>
      <c r="AD364" s="459"/>
      <c r="AE364" s="342"/>
      <c r="AF364" s="741"/>
      <c r="AG364" s="342"/>
      <c r="AH364" s="342"/>
      <c r="AI364" s="342"/>
      <c r="AJ364" s="796"/>
      <c r="AK364" s="750"/>
      <c r="AL364" s="758"/>
      <c r="AM364" s="340">
        <f t="shared" si="78"/>
        <v>0</v>
      </c>
      <c r="AN364" s="340">
        <f t="shared" si="79"/>
        <v>0</v>
      </c>
      <c r="AO364" s="468"/>
      <c r="AP364" s="332">
        <f t="shared" si="82"/>
        <v>0</v>
      </c>
      <c r="AQ364" s="192">
        <v>3412.52</v>
      </c>
      <c r="AR364" s="416">
        <v>74.263432930404605</v>
      </c>
      <c r="AS364" s="166">
        <v>44109</v>
      </c>
      <c r="AT364" s="23" t="s">
        <v>1845</v>
      </c>
      <c r="AU364" s="13" t="s">
        <v>1634</v>
      </c>
      <c r="AV364" s="242"/>
    </row>
    <row r="365" spans="1:48" ht="168.75" x14ac:dyDescent="0.25">
      <c r="A365" s="8">
        <v>356</v>
      </c>
      <c r="B365" s="9">
        <v>252</v>
      </c>
      <c r="C365" s="566" t="s">
        <v>1365</v>
      </c>
      <c r="D365" s="278" t="s">
        <v>1366</v>
      </c>
      <c r="E365" s="265">
        <v>2593702042</v>
      </c>
      <c r="F365" s="270">
        <v>6510700000</v>
      </c>
      <c r="G365" s="270" t="s">
        <v>1367</v>
      </c>
      <c r="H365" s="270" t="s">
        <v>1368</v>
      </c>
      <c r="I365" s="271" t="s">
        <v>2002</v>
      </c>
      <c r="J365" s="287" t="s">
        <v>1369</v>
      </c>
      <c r="K365" s="271" t="s">
        <v>1423</v>
      </c>
      <c r="L365" s="287" t="s">
        <v>1370</v>
      </c>
      <c r="M365" s="300" t="s">
        <v>776</v>
      </c>
      <c r="N365" s="287"/>
      <c r="O365" s="265" t="s">
        <v>8</v>
      </c>
      <c r="P365" s="288">
        <v>8.8000000000000005E-3</v>
      </c>
      <c r="Q365" s="289">
        <f>R365/88</f>
        <v>2043.2299999999998</v>
      </c>
      <c r="R365" s="579">
        <v>179804.24</v>
      </c>
      <c r="S365" s="579" t="s">
        <v>3351</v>
      </c>
      <c r="T365" s="374"/>
      <c r="U365" s="349">
        <f t="shared" si="80"/>
        <v>11435.549664</v>
      </c>
      <c r="V365" s="350">
        <v>11435.38</v>
      </c>
      <c r="W365" s="350">
        <v>6.36</v>
      </c>
      <c r="X365" s="333">
        <f t="shared" si="84"/>
        <v>129.94749999999999</v>
      </c>
      <c r="Y365" s="333">
        <f t="shared" si="85"/>
        <v>952.94833333333327</v>
      </c>
      <c r="Z365" s="807"/>
      <c r="AA365" s="711"/>
      <c r="AB365" s="340">
        <v>1000</v>
      </c>
      <c r="AC365" s="406"/>
      <c r="AD365" s="459"/>
      <c r="AE365" s="421"/>
      <c r="AF365" s="463"/>
      <c r="AG365" s="459"/>
      <c r="AH365" s="503"/>
      <c r="AI365" s="340"/>
      <c r="AJ365" s="740"/>
      <c r="AK365" s="741"/>
      <c r="AL365" s="732"/>
      <c r="AM365" s="340">
        <f t="shared" si="78"/>
        <v>1000</v>
      </c>
      <c r="AN365" s="340">
        <f t="shared" si="79"/>
        <v>1000</v>
      </c>
      <c r="AO365" s="468"/>
      <c r="AP365" s="333">
        <f t="shared" si="82"/>
        <v>8.7447902911840281</v>
      </c>
      <c r="AQ365" s="192">
        <v>12500</v>
      </c>
      <c r="AR365" s="416">
        <v>109.30987863980035</v>
      </c>
      <c r="AS365" s="456">
        <v>44742</v>
      </c>
      <c r="AT365" s="138" t="s">
        <v>1846</v>
      </c>
      <c r="AU365" s="13" t="s">
        <v>1634</v>
      </c>
    </row>
    <row r="366" spans="1:48" ht="206.25" x14ac:dyDescent="0.25">
      <c r="A366" s="8">
        <v>357</v>
      </c>
      <c r="B366" s="8">
        <v>253</v>
      </c>
      <c r="C366" s="250" t="s">
        <v>1371</v>
      </c>
      <c r="D366" s="251" t="s">
        <v>1372</v>
      </c>
      <c r="E366" s="214">
        <v>3024106755</v>
      </c>
      <c r="F366" s="209">
        <v>6510700000</v>
      </c>
      <c r="G366" s="209" t="s">
        <v>1373</v>
      </c>
      <c r="H366" s="209" t="s">
        <v>1374</v>
      </c>
      <c r="I366" s="210" t="s">
        <v>1375</v>
      </c>
      <c r="J366" s="262" t="s">
        <v>1376</v>
      </c>
      <c r="K366" s="75" t="s">
        <v>1592</v>
      </c>
      <c r="L366" s="60" t="s">
        <v>1377</v>
      </c>
      <c r="M366" s="60" t="s">
        <v>1593</v>
      </c>
      <c r="N366" s="60"/>
      <c r="O366" s="10" t="s">
        <v>8</v>
      </c>
      <c r="P366" s="25">
        <v>1.3100000000000001E-2</v>
      </c>
      <c r="Q366" s="26">
        <v>798.34</v>
      </c>
      <c r="R366" s="68">
        <v>104582.54000000001</v>
      </c>
      <c r="S366" s="12" t="s">
        <v>1378</v>
      </c>
      <c r="T366" s="368"/>
      <c r="U366" s="343">
        <f t="shared" si="80"/>
        <v>12549.9048</v>
      </c>
      <c r="V366" s="339">
        <f t="shared" ref="V366:V373" si="86">U366</f>
        <v>12549.9048</v>
      </c>
      <c r="W366" s="339">
        <v>12</v>
      </c>
      <c r="X366" s="333">
        <f t="shared" si="84"/>
        <v>95.800799999999995</v>
      </c>
      <c r="Y366" s="333">
        <f t="shared" si="85"/>
        <v>1045.8253999999999</v>
      </c>
      <c r="Z366" s="807"/>
      <c r="AA366" s="711"/>
      <c r="AB366" s="340"/>
      <c r="AC366" s="406"/>
      <c r="AD366" s="459"/>
      <c r="AE366" s="421"/>
      <c r="AF366" s="463"/>
      <c r="AG366" s="459"/>
      <c r="AH366" s="503"/>
      <c r="AI366" s="340"/>
      <c r="AJ366" s="740"/>
      <c r="AK366" s="741"/>
      <c r="AL366" s="732"/>
      <c r="AM366" s="340">
        <f t="shared" si="78"/>
        <v>0</v>
      </c>
      <c r="AN366" s="340">
        <f t="shared" si="79"/>
        <v>0</v>
      </c>
      <c r="AO366" s="468"/>
      <c r="AP366" s="333">
        <f t="shared" si="82"/>
        <v>0</v>
      </c>
      <c r="AQ366" s="192">
        <v>12319.940000000002</v>
      </c>
      <c r="AR366" s="416">
        <v>98.167597255399116</v>
      </c>
      <c r="AS366" s="140">
        <v>43569</v>
      </c>
      <c r="AT366" s="78" t="s">
        <v>1847</v>
      </c>
      <c r="AU366" s="13" t="s">
        <v>1634</v>
      </c>
    </row>
    <row r="367" spans="1:48" ht="206.25" x14ac:dyDescent="0.25">
      <c r="A367" s="8">
        <v>358</v>
      </c>
      <c r="B367" s="8">
        <v>254</v>
      </c>
      <c r="C367" s="119" t="s">
        <v>2396</v>
      </c>
      <c r="D367" s="120" t="s">
        <v>2392</v>
      </c>
      <c r="E367" s="109">
        <v>2985715862</v>
      </c>
      <c r="F367" s="110">
        <v>6510700000</v>
      </c>
      <c r="G367" s="110" t="s">
        <v>1379</v>
      </c>
      <c r="H367" s="110" t="s">
        <v>2393</v>
      </c>
      <c r="I367" s="111" t="s">
        <v>2394</v>
      </c>
      <c r="J367" s="121" t="s">
        <v>2397</v>
      </c>
      <c r="K367" s="111" t="s">
        <v>2395</v>
      </c>
      <c r="L367" s="111" t="s">
        <v>2398</v>
      </c>
      <c r="M367" s="126" t="s">
        <v>2395</v>
      </c>
      <c r="N367" s="121" t="s">
        <v>3202</v>
      </c>
      <c r="O367" s="109" t="s">
        <v>8</v>
      </c>
      <c r="P367" s="169">
        <v>2.3999999999999998E-3</v>
      </c>
      <c r="Q367" s="117">
        <f>R367/24</f>
        <v>426.58</v>
      </c>
      <c r="R367" s="107">
        <v>10237.92</v>
      </c>
      <c r="S367" s="107" t="s">
        <v>3203</v>
      </c>
      <c r="T367" s="369"/>
      <c r="U367" s="344">
        <f t="shared" si="80"/>
        <v>102.3792</v>
      </c>
      <c r="V367" s="344">
        <f t="shared" si="86"/>
        <v>102.3792</v>
      </c>
      <c r="W367" s="344">
        <v>1</v>
      </c>
      <c r="X367" s="344">
        <f t="shared" si="84"/>
        <v>4.2658000000000005</v>
      </c>
      <c r="Y367" s="344">
        <f t="shared" si="85"/>
        <v>8.5315999999999992</v>
      </c>
      <c r="Z367" s="840"/>
      <c r="AA367" s="529">
        <v>1368.72</v>
      </c>
      <c r="AB367" s="364"/>
      <c r="AC367" s="407"/>
      <c r="AD367" s="483"/>
      <c r="AE367" s="364"/>
      <c r="AF367" s="529"/>
      <c r="AG367" s="364"/>
      <c r="AH367" s="364"/>
      <c r="AI367" s="364"/>
      <c r="AJ367" s="762"/>
      <c r="AK367" s="529"/>
      <c r="AL367" s="756"/>
      <c r="AM367" s="340">
        <f t="shared" si="78"/>
        <v>1368.72</v>
      </c>
      <c r="AN367" s="340">
        <f t="shared" si="79"/>
        <v>1368.72</v>
      </c>
      <c r="AO367" s="468"/>
      <c r="AP367" s="344">
        <f t="shared" si="82"/>
        <v>1336.9121852876365</v>
      </c>
      <c r="AQ367" s="521">
        <v>102.38</v>
      </c>
      <c r="AR367" s="523">
        <v>100.00078140872365</v>
      </c>
      <c r="AS367" s="164">
        <v>44844</v>
      </c>
      <c r="AT367" s="125" t="s">
        <v>1957</v>
      </c>
      <c r="AU367" s="113" t="s">
        <v>1850</v>
      </c>
      <c r="AV367" s="329" t="s">
        <v>2039</v>
      </c>
    </row>
    <row r="368" spans="1:48" ht="206.25" x14ac:dyDescent="0.25">
      <c r="A368" s="8">
        <v>359</v>
      </c>
      <c r="B368" s="115">
        <v>255</v>
      </c>
      <c r="C368" s="277" t="s">
        <v>1380</v>
      </c>
      <c r="D368" s="278" t="s">
        <v>1381</v>
      </c>
      <c r="E368" s="265" t="s">
        <v>1594</v>
      </c>
      <c r="F368" s="270">
        <v>6510700000</v>
      </c>
      <c r="G368" s="270" t="s">
        <v>1382</v>
      </c>
      <c r="H368" s="270" t="s">
        <v>1383</v>
      </c>
      <c r="I368" s="271" t="s">
        <v>2003</v>
      </c>
      <c r="J368" s="287" t="s">
        <v>1384</v>
      </c>
      <c r="K368" s="271" t="s">
        <v>1595</v>
      </c>
      <c r="L368" s="287" t="s">
        <v>1385</v>
      </c>
      <c r="M368" s="300" t="s">
        <v>578</v>
      </c>
      <c r="N368" s="287"/>
      <c r="O368" s="265" t="s">
        <v>8</v>
      </c>
      <c r="P368" s="301">
        <v>2.3800000000000002E-2</v>
      </c>
      <c r="Q368" s="289">
        <v>1735.19</v>
      </c>
      <c r="R368" s="269">
        <v>412975.22000000009</v>
      </c>
      <c r="S368" s="269" t="s">
        <v>1386</v>
      </c>
      <c r="T368" s="374"/>
      <c r="U368" s="349">
        <v>42123.48</v>
      </c>
      <c r="V368" s="350">
        <f t="shared" si="86"/>
        <v>42123.48</v>
      </c>
      <c r="W368" s="350">
        <f>U368*100/R368</f>
        <v>10.200001830618309</v>
      </c>
      <c r="X368" s="333">
        <f t="shared" si="84"/>
        <v>176.98941176470586</v>
      </c>
      <c r="Y368" s="333">
        <f t="shared" si="85"/>
        <v>3510.2900000000004</v>
      </c>
      <c r="Z368" s="807"/>
      <c r="AA368" s="711"/>
      <c r="AB368" s="340"/>
      <c r="AC368" s="406"/>
      <c r="AD368" s="459"/>
      <c r="AE368" s="421"/>
      <c r="AF368" s="463"/>
      <c r="AG368" s="459"/>
      <c r="AH368" s="503"/>
      <c r="AI368" s="340"/>
      <c r="AJ368" s="740"/>
      <c r="AK368" s="741"/>
      <c r="AL368" s="732"/>
      <c r="AM368" s="340">
        <f t="shared" si="78"/>
        <v>0</v>
      </c>
      <c r="AN368" s="340">
        <f t="shared" si="79"/>
        <v>0</v>
      </c>
      <c r="AO368" s="468"/>
      <c r="AP368" s="333">
        <f t="shared" si="82"/>
        <v>0</v>
      </c>
      <c r="AQ368" s="192">
        <v>0</v>
      </c>
      <c r="AR368" s="416">
        <v>0</v>
      </c>
      <c r="AS368" s="140" t="s">
        <v>2619</v>
      </c>
      <c r="AT368" s="31" t="s">
        <v>1848</v>
      </c>
      <c r="AU368" s="13" t="s">
        <v>1634</v>
      </c>
      <c r="AV368" s="1"/>
    </row>
    <row r="369" spans="1:48" ht="150" x14ac:dyDescent="0.25">
      <c r="A369" s="8">
        <v>361</v>
      </c>
      <c r="B369" s="8">
        <v>257</v>
      </c>
      <c r="C369" s="98" t="s">
        <v>2903</v>
      </c>
      <c r="D369" s="17" t="s">
        <v>1396</v>
      </c>
      <c r="E369" s="10">
        <v>1724708759</v>
      </c>
      <c r="F369" s="19">
        <v>6510700000</v>
      </c>
      <c r="G369" s="19" t="s">
        <v>1395</v>
      </c>
      <c r="H369" s="19" t="s">
        <v>1396</v>
      </c>
      <c r="I369" s="75"/>
      <c r="J369" s="60" t="s">
        <v>2840</v>
      </c>
      <c r="K369" s="75"/>
      <c r="L369" s="60" t="s">
        <v>2839</v>
      </c>
      <c r="M369" s="60">
        <v>41827</v>
      </c>
      <c r="N369" s="60"/>
      <c r="O369" s="10" t="s">
        <v>8</v>
      </c>
      <c r="P369" s="25">
        <v>5.6300000000000003E-2</v>
      </c>
      <c r="Q369" s="26">
        <v>598.25</v>
      </c>
      <c r="R369" s="68">
        <v>336814.75</v>
      </c>
      <c r="S369" s="12"/>
      <c r="T369" s="368"/>
      <c r="U369" s="336">
        <f t="shared" si="80"/>
        <v>336.81475</v>
      </c>
      <c r="V369" s="333">
        <f t="shared" si="86"/>
        <v>336.81475</v>
      </c>
      <c r="W369" s="333">
        <v>0.1</v>
      </c>
      <c r="X369" s="333">
        <f t="shared" si="84"/>
        <v>0.59825000000000006</v>
      </c>
      <c r="Y369" s="333">
        <f t="shared" si="85"/>
        <v>28.067895833333335</v>
      </c>
      <c r="Z369" s="807"/>
      <c r="AA369" s="711"/>
      <c r="AB369" s="340"/>
      <c r="AC369" s="406"/>
      <c r="AD369" s="459"/>
      <c r="AE369" s="421"/>
      <c r="AF369" s="463"/>
      <c r="AG369" s="459"/>
      <c r="AH369" s="503"/>
      <c r="AI369" s="340"/>
      <c r="AJ369" s="740"/>
      <c r="AK369" s="741"/>
      <c r="AL369" s="732"/>
      <c r="AM369" s="340">
        <f t="shared" si="78"/>
        <v>0</v>
      </c>
      <c r="AN369" s="340">
        <f t="shared" si="79"/>
        <v>0</v>
      </c>
      <c r="AO369" s="468"/>
      <c r="AP369" s="333">
        <f t="shared" si="82"/>
        <v>0</v>
      </c>
      <c r="AQ369" s="192">
        <v>0</v>
      </c>
      <c r="AR369" s="416">
        <v>0</v>
      </c>
      <c r="AS369" s="140">
        <v>43520</v>
      </c>
      <c r="AT369" s="64" t="s">
        <v>1851</v>
      </c>
      <c r="AU369" s="13"/>
    </row>
    <row r="370" spans="1:48" ht="187.5" x14ac:dyDescent="0.25">
      <c r="A370" s="8">
        <v>362</v>
      </c>
      <c r="B370" s="8">
        <v>258</v>
      </c>
      <c r="C370" s="119" t="s">
        <v>2228</v>
      </c>
      <c r="D370" s="120" t="s">
        <v>1397</v>
      </c>
      <c r="E370" s="115">
        <v>2054515218</v>
      </c>
      <c r="F370" s="110">
        <v>6510700000</v>
      </c>
      <c r="G370" s="115" t="s">
        <v>1398</v>
      </c>
      <c r="H370" s="115" t="s">
        <v>1399</v>
      </c>
      <c r="I370" s="113" t="s">
        <v>1400</v>
      </c>
      <c r="J370" s="109" t="s">
        <v>2679</v>
      </c>
      <c r="K370" s="113" t="s">
        <v>1598</v>
      </c>
      <c r="L370" s="109" t="s">
        <v>1401</v>
      </c>
      <c r="M370" s="112" t="s">
        <v>1402</v>
      </c>
      <c r="N370" s="112" t="s">
        <v>2229</v>
      </c>
      <c r="O370" s="109" t="s">
        <v>8</v>
      </c>
      <c r="P370" s="114">
        <v>4.5199999999999997E-2</v>
      </c>
      <c r="Q370" s="107">
        <v>598.24</v>
      </c>
      <c r="R370" s="107">
        <v>270404.47999999998</v>
      </c>
      <c r="S370" s="107" t="s">
        <v>1403</v>
      </c>
      <c r="T370" s="369"/>
      <c r="U370" s="344">
        <f t="shared" si="80"/>
        <v>2839.2470400000002</v>
      </c>
      <c r="V370" s="344">
        <f t="shared" si="86"/>
        <v>2839.2470400000002</v>
      </c>
      <c r="W370" s="344">
        <v>1.05</v>
      </c>
      <c r="X370" s="344">
        <f t="shared" si="84"/>
        <v>6.2815200000000013</v>
      </c>
      <c r="Y370" s="344">
        <f t="shared" si="85"/>
        <v>236.60392000000002</v>
      </c>
      <c r="Z370" s="840"/>
      <c r="AA370" s="529">
        <v>570</v>
      </c>
      <c r="AB370" s="364">
        <v>410</v>
      </c>
      <c r="AC370" s="407"/>
      <c r="AD370" s="483">
        <v>500</v>
      </c>
      <c r="AE370" s="364"/>
      <c r="AF370" s="529"/>
      <c r="AG370" s="364"/>
      <c r="AH370" s="364"/>
      <c r="AI370" s="364"/>
      <c r="AJ370" s="751"/>
      <c r="AK370" s="529"/>
      <c r="AL370" s="756"/>
      <c r="AM370" s="340">
        <f t="shared" si="78"/>
        <v>1480</v>
      </c>
      <c r="AN370" s="340">
        <f t="shared" si="79"/>
        <v>1480</v>
      </c>
      <c r="AO370" s="468"/>
      <c r="AP370" s="344">
        <f t="shared" si="82"/>
        <v>52.126496185411185</v>
      </c>
      <c r="AQ370" s="521">
        <v>2700</v>
      </c>
      <c r="AR370" s="523">
        <v>95.095634932844717</v>
      </c>
      <c r="AS370" s="164" t="s">
        <v>2593</v>
      </c>
      <c r="AT370" s="125" t="s">
        <v>1826</v>
      </c>
      <c r="AU370" s="113" t="s">
        <v>1713</v>
      </c>
      <c r="AV370" s="1"/>
    </row>
    <row r="371" spans="1:48" ht="225" x14ac:dyDescent="0.25">
      <c r="A371" s="8">
        <v>363</v>
      </c>
      <c r="B371" s="115">
        <v>259</v>
      </c>
      <c r="C371" s="277" t="s">
        <v>1404</v>
      </c>
      <c r="D371" s="278" t="s">
        <v>1405</v>
      </c>
      <c r="E371" s="266" t="s">
        <v>1599</v>
      </c>
      <c r="F371" s="270">
        <v>6510700000</v>
      </c>
      <c r="G371" s="266" t="s">
        <v>1406</v>
      </c>
      <c r="H371" s="266" t="s">
        <v>1407</v>
      </c>
      <c r="I371" s="267" t="s">
        <v>2004</v>
      </c>
      <c r="J371" s="283" t="s">
        <v>1408</v>
      </c>
      <c r="K371" s="267" t="s">
        <v>1595</v>
      </c>
      <c r="L371" s="265" t="s">
        <v>1409</v>
      </c>
      <c r="M371" s="283" t="s">
        <v>1600</v>
      </c>
      <c r="N371" s="265"/>
      <c r="O371" s="265" t="s">
        <v>8</v>
      </c>
      <c r="P371" s="268">
        <v>6.2600000000000003E-2</v>
      </c>
      <c r="Q371" s="269">
        <v>470.11</v>
      </c>
      <c r="R371" s="269">
        <v>294288.86</v>
      </c>
      <c r="S371" s="269" t="s">
        <v>1410</v>
      </c>
      <c r="T371" s="374"/>
      <c r="U371" s="349">
        <v>9534.91</v>
      </c>
      <c r="V371" s="349">
        <f t="shared" si="86"/>
        <v>9534.91</v>
      </c>
      <c r="W371" s="349">
        <f>U371*100/R371</f>
        <v>3.2399833279452035</v>
      </c>
      <c r="X371" s="333">
        <f t="shared" si="84"/>
        <v>15.231485623003195</v>
      </c>
      <c r="Y371" s="333">
        <f t="shared" si="85"/>
        <v>794.57583333333332</v>
      </c>
      <c r="AA371" s="807">
        <v>640</v>
      </c>
      <c r="AB371" s="340">
        <v>640</v>
      </c>
      <c r="AC371" s="406"/>
      <c r="AD371" s="459"/>
      <c r="AE371" s="421"/>
      <c r="AF371" s="463"/>
      <c r="AG371" s="459"/>
      <c r="AH371" s="503"/>
      <c r="AI371" s="363"/>
      <c r="AJ371" s="740"/>
      <c r="AK371" s="741"/>
      <c r="AL371" s="732"/>
      <c r="AM371" s="340">
        <f>SUM(AA371:AK371)</f>
        <v>1280</v>
      </c>
      <c r="AN371" s="340">
        <f>SUM(AA371:AL371)</f>
        <v>1280</v>
      </c>
      <c r="AO371" s="468"/>
      <c r="AP371" s="333">
        <f t="shared" si="82"/>
        <v>13.424353245075203</v>
      </c>
      <c r="AQ371" s="192">
        <v>8540</v>
      </c>
      <c r="AR371" s="416">
        <v>89.565606806986125</v>
      </c>
      <c r="AS371" s="140" t="s">
        <v>2619</v>
      </c>
      <c r="AT371" s="23" t="s">
        <v>1750</v>
      </c>
      <c r="AU371" s="13" t="s">
        <v>1634</v>
      </c>
    </row>
    <row r="372" spans="1:48" ht="206.25" x14ac:dyDescent="0.25">
      <c r="A372" s="8">
        <v>365</v>
      </c>
      <c r="B372" s="266"/>
      <c r="C372" s="277" t="s">
        <v>3172</v>
      </c>
      <c r="D372" s="278" t="s">
        <v>3173</v>
      </c>
      <c r="E372" s="266">
        <v>2591009103</v>
      </c>
      <c r="F372" s="270">
        <v>6510700000</v>
      </c>
      <c r="G372" s="266" t="s">
        <v>3378</v>
      </c>
      <c r="H372" s="266" t="s">
        <v>3379</v>
      </c>
      <c r="I372" s="267" t="s">
        <v>3345</v>
      </c>
      <c r="J372" s="283" t="s">
        <v>3380</v>
      </c>
      <c r="K372" s="267" t="s">
        <v>3347</v>
      </c>
      <c r="L372" s="265" t="s">
        <v>3381</v>
      </c>
      <c r="M372" s="283">
        <v>43851</v>
      </c>
      <c r="N372" s="265"/>
      <c r="O372" s="265" t="s">
        <v>8</v>
      </c>
      <c r="P372" s="302">
        <v>0.85440000000000005</v>
      </c>
      <c r="Q372" s="263">
        <f>R372/8544</f>
        <v>199.5</v>
      </c>
      <c r="R372" s="269">
        <v>1704528</v>
      </c>
      <c r="S372" s="269" t="s">
        <v>3382</v>
      </c>
      <c r="T372" s="374"/>
      <c r="U372" s="349">
        <v>19005.57</v>
      </c>
      <c r="V372" s="349">
        <v>17987.78</v>
      </c>
      <c r="W372" s="349">
        <f>U372*100/R372</f>
        <v>1.1150048576497424</v>
      </c>
      <c r="X372" s="349">
        <f>U372/(P372*10000)</f>
        <v>2.2244346910112358</v>
      </c>
      <c r="Y372" s="349">
        <f t="shared" si="85"/>
        <v>1498.9816666666666</v>
      </c>
      <c r="Z372" s="840"/>
      <c r="AA372" s="855">
        <f>1583.8+561.98</f>
        <v>2145.7799999999997</v>
      </c>
      <c r="AB372" s="410"/>
      <c r="AC372" s="408"/>
      <c r="AD372" s="486">
        <v>7919</v>
      </c>
      <c r="AE372" s="410"/>
      <c r="AF372" s="475"/>
      <c r="AG372" s="798"/>
      <c r="AH372" s="410"/>
      <c r="AI372" s="799"/>
      <c r="AJ372" s="765"/>
      <c r="AK372" s="475"/>
      <c r="AL372" s="561"/>
      <c r="AM372" s="340">
        <f t="shared" si="78"/>
        <v>10064.779999999999</v>
      </c>
      <c r="AN372" s="340">
        <f>SUM(AA372:AL372)</f>
        <v>10064.779999999999</v>
      </c>
      <c r="AO372" s="468"/>
      <c r="AP372" s="349">
        <f t="shared" si="82"/>
        <v>55.953430606778596</v>
      </c>
      <c r="AQ372" s="269">
        <v>5904.72</v>
      </c>
      <c r="AR372" s="723">
        <v>106.75528106626554</v>
      </c>
      <c r="AS372" s="310">
        <v>45646</v>
      </c>
      <c r="AT372" s="382" t="s">
        <v>3383</v>
      </c>
      <c r="AU372" s="267" t="s">
        <v>1632</v>
      </c>
    </row>
    <row r="373" spans="1:48" ht="150" x14ac:dyDescent="0.25">
      <c r="A373" s="8">
        <v>367</v>
      </c>
      <c r="B373" s="8">
        <v>262</v>
      </c>
      <c r="C373" s="119" t="s">
        <v>1415</v>
      </c>
      <c r="D373" s="120" t="s">
        <v>1416</v>
      </c>
      <c r="E373" s="109">
        <v>2994517545</v>
      </c>
      <c r="F373" s="115">
        <v>6510700000</v>
      </c>
      <c r="G373" s="115" t="s">
        <v>3427</v>
      </c>
      <c r="H373" s="115" t="s">
        <v>1417</v>
      </c>
      <c r="I373" s="113" t="s">
        <v>1076</v>
      </c>
      <c r="J373" s="113" t="s">
        <v>2680</v>
      </c>
      <c r="K373" s="113" t="s">
        <v>1601</v>
      </c>
      <c r="L373" s="113" t="s">
        <v>1418</v>
      </c>
      <c r="M373" s="112" t="s">
        <v>1601</v>
      </c>
      <c r="N373" s="113" t="s">
        <v>611</v>
      </c>
      <c r="O373" s="109" t="s">
        <v>8</v>
      </c>
      <c r="P373" s="169">
        <v>3.2000000000000002E-3</v>
      </c>
      <c r="Q373" s="117">
        <v>2043.2</v>
      </c>
      <c r="R373" s="107">
        <v>65382.400000000001</v>
      </c>
      <c r="S373" s="107" t="s">
        <v>1419</v>
      </c>
      <c r="T373" s="369"/>
      <c r="U373" s="343">
        <f t="shared" si="80"/>
        <v>7192.0640000000003</v>
      </c>
      <c r="V373" s="339">
        <f t="shared" si="86"/>
        <v>7192.0640000000003</v>
      </c>
      <c r="W373" s="339">
        <v>11</v>
      </c>
      <c r="X373" s="333">
        <f t="shared" si="84"/>
        <v>224.75200000000001</v>
      </c>
      <c r="Y373" s="333">
        <f t="shared" si="85"/>
        <v>599.33866666666665</v>
      </c>
      <c r="Z373" s="807"/>
      <c r="AA373" s="711">
        <v>955.13</v>
      </c>
      <c r="AB373" s="340">
        <v>955.13</v>
      </c>
      <c r="AC373" s="406"/>
      <c r="AD373" s="459">
        <v>955.13</v>
      </c>
      <c r="AE373" s="421"/>
      <c r="AF373" s="463"/>
      <c r="AG373" s="459"/>
      <c r="AH373" s="503"/>
      <c r="AI373" s="340"/>
      <c r="AJ373" s="740"/>
      <c r="AK373" s="741"/>
      <c r="AL373" s="732"/>
      <c r="AM373" s="340">
        <f>SUM(Z373:AK373)</f>
        <v>2865.39</v>
      </c>
      <c r="AN373" s="340">
        <f t="shared" si="79"/>
        <v>2865.39</v>
      </c>
      <c r="AO373" s="468"/>
      <c r="AP373" s="333">
        <f t="shared" si="82"/>
        <v>39.840996965544242</v>
      </c>
      <c r="AQ373" s="521">
        <v>7285.25</v>
      </c>
      <c r="AR373" s="416">
        <v>101.29567812522247</v>
      </c>
      <c r="AS373" s="164" t="s">
        <v>2568</v>
      </c>
      <c r="AT373" s="128" t="s">
        <v>1752</v>
      </c>
      <c r="AU373" s="113" t="s">
        <v>1634</v>
      </c>
    </row>
    <row r="374" spans="1:48" ht="281.25" x14ac:dyDescent="0.25">
      <c r="A374" s="8">
        <v>368</v>
      </c>
      <c r="B374" s="8"/>
      <c r="C374" s="108" t="s">
        <v>3310</v>
      </c>
      <c r="D374" s="109" t="s">
        <v>3311</v>
      </c>
      <c r="E374" s="109">
        <v>2292120632</v>
      </c>
      <c r="F374" s="115">
        <v>6510700000</v>
      </c>
      <c r="G374" s="115" t="s">
        <v>3426</v>
      </c>
      <c r="H374" s="115" t="s">
        <v>3312</v>
      </c>
      <c r="I374" s="113" t="s">
        <v>3313</v>
      </c>
      <c r="J374" s="113" t="s">
        <v>3314</v>
      </c>
      <c r="K374" s="113" t="s">
        <v>3315</v>
      </c>
      <c r="L374" s="113" t="s">
        <v>3316</v>
      </c>
      <c r="M374" s="112" t="s">
        <v>3317</v>
      </c>
      <c r="N374" s="113"/>
      <c r="O374" s="109" t="s">
        <v>8</v>
      </c>
      <c r="P374" s="114">
        <v>5.5999999999999999E-3</v>
      </c>
      <c r="Q374" s="107">
        <f>R374/56</f>
        <v>525.41</v>
      </c>
      <c r="R374" s="107">
        <v>29422.959999999999</v>
      </c>
      <c r="S374" s="107" t="s">
        <v>3318</v>
      </c>
      <c r="T374" s="369"/>
      <c r="U374" s="609">
        <f t="shared" si="80"/>
        <v>1765.3775999999998</v>
      </c>
      <c r="V374" s="609">
        <v>1703.63</v>
      </c>
      <c r="W374" s="339">
        <v>6</v>
      </c>
      <c r="X374" s="333">
        <f>U374/(P374*10000)</f>
        <v>31.524599999999996</v>
      </c>
      <c r="Y374" s="333">
        <f t="shared" si="85"/>
        <v>141.96916666666667</v>
      </c>
      <c r="Z374" s="807">
        <v>85.42</v>
      </c>
      <c r="AA374" s="711"/>
      <c r="AB374" s="340">
        <v>147.11000000000001</v>
      </c>
      <c r="AC374" s="406">
        <v>147.11000000000001</v>
      </c>
      <c r="AD374" s="459"/>
      <c r="AE374" s="421"/>
      <c r="AF374" s="463"/>
      <c r="AG374" s="459"/>
      <c r="AH374" s="503"/>
      <c r="AI374" s="340"/>
      <c r="AJ374" s="417"/>
      <c r="AK374" s="741"/>
      <c r="AL374" s="340"/>
      <c r="AM374" s="340">
        <f>SUM(Z374:AK374)</f>
        <v>379.64000000000004</v>
      </c>
      <c r="AN374" s="340">
        <f t="shared" si="79"/>
        <v>294.22000000000003</v>
      </c>
      <c r="AO374" s="468"/>
      <c r="AP374" s="333">
        <f>AM374*100/V374</f>
        <v>22.284181424370317</v>
      </c>
      <c r="AQ374" s="521" t="s">
        <v>1887</v>
      </c>
      <c r="AR374" s="416" t="s">
        <v>1887</v>
      </c>
      <c r="AS374" s="164">
        <v>45982</v>
      </c>
      <c r="AT374" s="125" t="s">
        <v>3325</v>
      </c>
      <c r="AU374" s="113" t="s">
        <v>1634</v>
      </c>
    </row>
    <row r="375" spans="1:48" ht="47.25" x14ac:dyDescent="0.25">
      <c r="A375" s="680"/>
      <c r="B375" s="680"/>
      <c r="C375" s="870" t="s">
        <v>3479</v>
      </c>
      <c r="D375" s="668"/>
      <c r="E375" s="668"/>
      <c r="F375" s="399"/>
      <c r="G375" s="399"/>
      <c r="H375" s="399"/>
      <c r="I375" s="669"/>
      <c r="J375" s="669"/>
      <c r="K375" s="669"/>
      <c r="L375" s="669"/>
      <c r="M375" s="670"/>
      <c r="N375" s="669"/>
      <c r="O375" s="668"/>
      <c r="P375" s="671"/>
      <c r="Q375" s="672"/>
      <c r="R375" s="672"/>
      <c r="S375" s="672"/>
      <c r="T375" s="673"/>
      <c r="U375" s="400"/>
      <c r="V375" s="400"/>
      <c r="W375" s="400"/>
      <c r="X375" s="667"/>
      <c r="Y375" s="667"/>
      <c r="Z375" s="847"/>
      <c r="AA375" s="862">
        <v>252.9</v>
      </c>
      <c r="AB375" s="674"/>
      <c r="AC375" s="465"/>
      <c r="AD375" s="485"/>
      <c r="AE375" s="675"/>
      <c r="AF375" s="676"/>
      <c r="AG375" s="485"/>
      <c r="AH375" s="505"/>
      <c r="AI375" s="674"/>
      <c r="AJ375" s="543"/>
      <c r="AK375" s="681"/>
      <c r="AL375" s="674"/>
      <c r="AM375" s="674"/>
      <c r="AN375" s="674"/>
      <c r="AO375" s="1218"/>
      <c r="AP375" s="667"/>
      <c r="AQ375" s="704"/>
      <c r="AR375" s="466"/>
      <c r="AS375" s="677"/>
      <c r="AT375" s="678"/>
      <c r="AU375" s="679"/>
    </row>
    <row r="376" spans="1:48" ht="94.5" x14ac:dyDescent="0.25">
      <c r="C376" s="867" t="s">
        <v>3480</v>
      </c>
      <c r="AA376" s="864">
        <v>1282.9100000000001</v>
      </c>
      <c r="AB376" s="366">
        <v>1282.8499999999999</v>
      </c>
    </row>
    <row r="377" spans="1:48" ht="110.25" x14ac:dyDescent="0.25">
      <c r="C377" s="867" t="s">
        <v>3481</v>
      </c>
      <c r="AA377" s="865">
        <v>344.45</v>
      </c>
    </row>
    <row r="378" spans="1:48" ht="31.5" x14ac:dyDescent="0.25">
      <c r="C378" s="867" t="s">
        <v>3482</v>
      </c>
      <c r="AA378" s="866">
        <v>725</v>
      </c>
    </row>
    <row r="379" spans="1:48" ht="63" x14ac:dyDescent="0.25">
      <c r="C379" s="867" t="s">
        <v>3483</v>
      </c>
      <c r="AA379" s="864">
        <v>1955.31</v>
      </c>
    </row>
    <row r="380" spans="1:48" ht="31.5" x14ac:dyDescent="0.25">
      <c r="C380" s="867" t="s">
        <v>3487</v>
      </c>
      <c r="AA380" s="864">
        <v>16508.439999999999</v>
      </c>
    </row>
    <row r="381" spans="1:48" ht="78.75" x14ac:dyDescent="0.25">
      <c r="C381" s="867" t="s">
        <v>3494</v>
      </c>
      <c r="AA381" s="864">
        <f>500+3260.84</f>
        <v>3760.84</v>
      </c>
    </row>
    <row r="382" spans="1:48" ht="110.25" x14ac:dyDescent="0.25">
      <c r="C382" s="867" t="s">
        <v>3488</v>
      </c>
      <c r="AA382" s="864">
        <v>718</v>
      </c>
    </row>
    <row r="383" spans="1:48" ht="31.5" x14ac:dyDescent="0.25">
      <c r="C383" s="867" t="s">
        <v>3491</v>
      </c>
      <c r="AA383" s="864">
        <v>625.23</v>
      </c>
    </row>
    <row r="384" spans="1:48" ht="31.5" x14ac:dyDescent="0.25">
      <c r="C384" s="867" t="s">
        <v>3496</v>
      </c>
      <c r="AA384" s="864">
        <v>615</v>
      </c>
      <c r="AB384" s="1">
        <v>615</v>
      </c>
      <c r="AD384" s="484">
        <v>615</v>
      </c>
    </row>
    <row r="385" spans="1:48" ht="63" x14ac:dyDescent="0.25">
      <c r="C385" s="867" t="s">
        <v>3495</v>
      </c>
      <c r="AA385" s="864">
        <v>15339.97</v>
      </c>
    </row>
    <row r="386" spans="1:48" ht="15.75" x14ac:dyDescent="0.25">
      <c r="C386" s="867" t="s">
        <v>3497</v>
      </c>
      <c r="AA386" s="864">
        <v>558.09</v>
      </c>
      <c r="AB386" s="1">
        <v>558.09</v>
      </c>
    </row>
    <row r="387" spans="1:48" ht="47.25" x14ac:dyDescent="0.25">
      <c r="C387" s="867" t="s">
        <v>3498</v>
      </c>
      <c r="AA387" s="864">
        <v>7427.4</v>
      </c>
      <c r="AC387" s="793">
        <v>7427.4</v>
      </c>
    </row>
    <row r="388" spans="1:48" ht="31.5" x14ac:dyDescent="0.25">
      <c r="C388" s="867" t="s">
        <v>3499</v>
      </c>
      <c r="AA388" s="864">
        <v>2900</v>
      </c>
      <c r="AB388" s="739">
        <v>2500</v>
      </c>
      <c r="AC388" s="793">
        <v>3000</v>
      </c>
    </row>
    <row r="389" spans="1:48" ht="31.5" x14ac:dyDescent="0.25">
      <c r="C389" s="867" t="s">
        <v>3500</v>
      </c>
      <c r="AA389" s="864">
        <v>13567.71</v>
      </c>
      <c r="AB389" s="739">
        <f>3500+10067.71</f>
        <v>13567.71</v>
      </c>
    </row>
    <row r="390" spans="1:48" ht="15.75" x14ac:dyDescent="0.25">
      <c r="C390" s="867" t="s">
        <v>3508</v>
      </c>
      <c r="AA390" s="864">
        <v>50</v>
      </c>
    </row>
    <row r="391" spans="1:48" ht="63" x14ac:dyDescent="0.25">
      <c r="C391" s="867" t="s">
        <v>3521</v>
      </c>
      <c r="AA391" s="864"/>
      <c r="AB391" s="1">
        <v>839.1</v>
      </c>
      <c r="AC391" s="309">
        <v>839.1</v>
      </c>
    </row>
    <row r="392" spans="1:48" ht="78.75" x14ac:dyDescent="0.25">
      <c r="C392" s="867" t="s">
        <v>3522</v>
      </c>
      <c r="AA392" s="864"/>
      <c r="AB392" s="739">
        <v>4625</v>
      </c>
    </row>
    <row r="393" spans="1:48" ht="204.75" x14ac:dyDescent="0.25">
      <c r="C393" s="867" t="s">
        <v>3524</v>
      </c>
      <c r="AA393" s="864"/>
      <c r="AB393" s="739">
        <v>216.92</v>
      </c>
      <c r="AD393" s="484">
        <v>216.92</v>
      </c>
    </row>
    <row r="394" spans="1:48" ht="141.75" x14ac:dyDescent="0.25">
      <c r="C394" s="867" t="s">
        <v>3525</v>
      </c>
      <c r="AA394" s="864"/>
      <c r="AB394" s="739">
        <v>1020</v>
      </c>
    </row>
    <row r="395" spans="1:48" ht="110.25" x14ac:dyDescent="0.25">
      <c r="C395" s="867" t="s">
        <v>3568</v>
      </c>
      <c r="AA395" s="864"/>
      <c r="AB395" s="739"/>
      <c r="AC395" s="793">
        <v>1226</v>
      </c>
    </row>
    <row r="396" spans="1:48" ht="31.5" x14ac:dyDescent="0.25">
      <c r="C396" s="867" t="s">
        <v>3573</v>
      </c>
      <c r="AA396" s="864"/>
      <c r="AB396" s="739"/>
      <c r="AC396" s="793"/>
      <c r="AD396" s="1111">
        <v>5419.72</v>
      </c>
    </row>
    <row r="397" spans="1:48" ht="105" x14ac:dyDescent="0.35">
      <c r="G397" s="869" t="s">
        <v>3484</v>
      </c>
    </row>
    <row r="398" spans="1:48" ht="187.5" x14ac:dyDescent="0.25">
      <c r="A398" s="414" t="s">
        <v>3485</v>
      </c>
      <c r="B398" s="115">
        <v>192</v>
      </c>
      <c r="C398" s="817" t="s">
        <v>3217</v>
      </c>
      <c r="D398" s="545" t="s">
        <v>723</v>
      </c>
      <c r="E398" s="512">
        <v>3156901145</v>
      </c>
      <c r="F398" s="514">
        <v>6510700000</v>
      </c>
      <c r="G398" s="514" t="s">
        <v>3219</v>
      </c>
      <c r="H398" s="514" t="s">
        <v>3224</v>
      </c>
      <c r="I398" s="515" t="s">
        <v>3225</v>
      </c>
      <c r="J398" s="516" t="s">
        <v>3486</v>
      </c>
      <c r="K398" s="517" t="s">
        <v>3226</v>
      </c>
      <c r="L398" s="516" t="s">
        <v>3227</v>
      </c>
      <c r="M398" s="516">
        <v>43798</v>
      </c>
      <c r="N398" s="516"/>
      <c r="O398" s="518"/>
      <c r="P398" s="519">
        <v>6.1499999999999999E-2</v>
      </c>
      <c r="Q398" s="520">
        <f>R398/615</f>
        <v>283.52</v>
      </c>
      <c r="R398" s="521">
        <v>174364.79999999999</v>
      </c>
      <c r="S398" s="521" t="s">
        <v>3229</v>
      </c>
      <c r="T398" s="522"/>
      <c r="U398" s="415">
        <f t="shared" ref="U398:U404" si="87">R398*W398%</f>
        <v>871.82399999999996</v>
      </c>
      <c r="V398" s="404">
        <f>U398</f>
        <v>871.82399999999996</v>
      </c>
      <c r="W398" s="404">
        <v>0.5</v>
      </c>
      <c r="X398" s="404">
        <f>V398/(P398*10000)</f>
        <v>1.4176</v>
      </c>
      <c r="Y398" s="404">
        <f>V398/12</f>
        <v>72.652000000000001</v>
      </c>
      <c r="Z398" s="839"/>
      <c r="AA398" s="712"/>
      <c r="AB398" s="406"/>
      <c r="AC398" s="406"/>
      <c r="AD398" s="459"/>
      <c r="AE398" s="406"/>
      <c r="AF398" s="712"/>
      <c r="AG398" s="406"/>
      <c r="AH398" s="406"/>
      <c r="AI398" s="406"/>
      <c r="AJ398" s="740"/>
      <c r="AK398" s="741"/>
      <c r="AL398" s="738"/>
      <c r="AM398" s="340">
        <f>SUM(Z398:AK398)</f>
        <v>0</v>
      </c>
      <c r="AN398" s="340">
        <f>SUM(AA398:AL398)</f>
        <v>0</v>
      </c>
      <c r="AO398" s="468"/>
      <c r="AP398" s="404">
        <f>AM398*100/V398</f>
        <v>0</v>
      </c>
      <c r="AQ398" s="521">
        <v>78</v>
      </c>
      <c r="AR398" s="523">
        <v>100.65814943863725</v>
      </c>
      <c r="AS398" s="454">
        <v>45575</v>
      </c>
      <c r="AT398" s="524" t="s">
        <v>1766</v>
      </c>
      <c r="AU398" s="525" t="s">
        <v>1768</v>
      </c>
      <c r="AV398" s="1" t="s">
        <v>3228</v>
      </c>
    </row>
    <row r="399" spans="1:48" ht="243.75" x14ac:dyDescent="0.25">
      <c r="A399" s="908" t="s">
        <v>3473</v>
      </c>
      <c r="B399" s="909">
        <v>159</v>
      </c>
      <c r="C399" s="1029" t="s">
        <v>3472</v>
      </c>
      <c r="D399" s="1030" t="s">
        <v>957</v>
      </c>
      <c r="E399" s="925" t="s">
        <v>3308</v>
      </c>
      <c r="F399" s="911">
        <v>6510700000</v>
      </c>
      <c r="G399" s="911" t="s">
        <v>958</v>
      </c>
      <c r="H399" s="911" t="s">
        <v>959</v>
      </c>
      <c r="I399" s="1031" t="s">
        <v>133</v>
      </c>
      <c r="J399" s="1032" t="s">
        <v>960</v>
      </c>
      <c r="K399" s="1032" t="s">
        <v>561</v>
      </c>
      <c r="L399" s="1032" t="s">
        <v>961</v>
      </c>
      <c r="M399" s="953" t="s">
        <v>1535</v>
      </c>
      <c r="N399" s="1032" t="s">
        <v>3309</v>
      </c>
      <c r="O399" s="925" t="s">
        <v>8</v>
      </c>
      <c r="P399" s="926">
        <v>7.1999999999999998E-3</v>
      </c>
      <c r="Q399" s="927">
        <v>853.15</v>
      </c>
      <c r="R399" s="1033">
        <v>61426.799999999996</v>
      </c>
      <c r="S399" s="1033" t="s">
        <v>962</v>
      </c>
      <c r="T399" s="1034"/>
      <c r="U399" s="1035">
        <f t="shared" si="87"/>
        <v>6756.9479999999994</v>
      </c>
      <c r="V399" s="1035">
        <f>U399</f>
        <v>6756.9479999999994</v>
      </c>
      <c r="W399" s="1035">
        <v>11</v>
      </c>
      <c r="X399" s="1035">
        <f>V399/(P399*10000)</f>
        <v>93.846499999999992</v>
      </c>
      <c r="Y399" s="1036">
        <f>V399/12</f>
        <v>563.07899999999995</v>
      </c>
      <c r="AA399" s="988">
        <v>216.92</v>
      </c>
      <c r="AB399" s="1037"/>
      <c r="AC399" s="1049"/>
      <c r="AD399" s="1037"/>
      <c r="AE399" s="1037"/>
      <c r="AF399" s="1037"/>
      <c r="AG399" s="1037"/>
      <c r="AH399" s="1037"/>
      <c r="AI399" s="1037"/>
      <c r="AJ399" s="1038"/>
      <c r="AK399" s="459"/>
      <c r="AL399" s="1039"/>
      <c r="AM399" s="459">
        <f>SUM(AA399:AK399)</f>
        <v>216.92</v>
      </c>
      <c r="AN399" s="459">
        <f t="shared" ref="AN399:AN408" si="88">SUM(AA399:AL399)</f>
        <v>216.92</v>
      </c>
      <c r="AO399" s="1219"/>
      <c r="AP399" s="1036">
        <f>AM399*100/V399</f>
        <v>3.2103251349573805</v>
      </c>
      <c r="AQ399" s="1033">
        <v>4399.4600000000009</v>
      </c>
      <c r="AR399" s="1040">
        <v>65.110165121886411</v>
      </c>
      <c r="AS399" s="1041" t="s">
        <v>2573</v>
      </c>
      <c r="AT399" s="925" t="s">
        <v>1799</v>
      </c>
      <c r="AU399" s="1032" t="s">
        <v>1634</v>
      </c>
    </row>
    <row r="400" spans="1:48" ht="187.5" x14ac:dyDescent="0.25">
      <c r="A400" s="414" t="s">
        <v>3474</v>
      </c>
      <c r="B400" s="9">
        <v>8</v>
      </c>
      <c r="C400" s="418" t="s">
        <v>98</v>
      </c>
      <c r="D400" s="79" t="s">
        <v>99</v>
      </c>
      <c r="E400" s="9">
        <v>23136854</v>
      </c>
      <c r="F400" s="19">
        <v>6510700000</v>
      </c>
      <c r="G400" s="19" t="s">
        <v>100</v>
      </c>
      <c r="H400" s="19" t="s">
        <v>101</v>
      </c>
      <c r="I400" s="75"/>
      <c r="J400" s="10" t="s">
        <v>2665</v>
      </c>
      <c r="K400" s="13"/>
      <c r="L400" s="10" t="s">
        <v>3417</v>
      </c>
      <c r="M400" s="20">
        <v>40846</v>
      </c>
      <c r="N400" s="10"/>
      <c r="O400" s="10" t="s">
        <v>8</v>
      </c>
      <c r="P400" s="27">
        <v>1.9E-3</v>
      </c>
      <c r="Q400" s="579">
        <v>2043.2</v>
      </c>
      <c r="R400" s="579">
        <v>38820.800000000003</v>
      </c>
      <c r="S400" s="663" t="s">
        <v>3340</v>
      </c>
      <c r="T400" s="371"/>
      <c r="U400" s="339">
        <f t="shared" si="87"/>
        <v>4270.2880000000005</v>
      </c>
      <c r="V400" s="339">
        <f t="shared" ref="V400:V408" si="89">U400</f>
        <v>4270.2880000000005</v>
      </c>
      <c r="W400" s="339">
        <v>11</v>
      </c>
      <c r="X400" s="333">
        <f>V400/(P400*10000)</f>
        <v>224.75200000000004</v>
      </c>
      <c r="Y400" s="334">
        <f t="shared" ref="Y400:Y408" si="90">V400/12</f>
        <v>355.85733333333337</v>
      </c>
      <c r="Z400" s="807">
        <v>2643.86</v>
      </c>
      <c r="AA400" s="711"/>
      <c r="AB400" s="340">
        <v>1321.93</v>
      </c>
      <c r="AC400" s="406"/>
      <c r="AD400" s="459"/>
      <c r="AE400" s="421"/>
      <c r="AF400" s="463"/>
      <c r="AG400" s="459"/>
      <c r="AH400" s="503"/>
      <c r="AI400" s="340"/>
      <c r="AJ400" s="740"/>
      <c r="AK400" s="741"/>
      <c r="AL400" s="732"/>
      <c r="AM400" s="340">
        <f t="shared" ref="AM400:AM405" si="91">SUM(Z400:AK400)</f>
        <v>3965.79</v>
      </c>
      <c r="AN400" s="340">
        <f t="shared" si="88"/>
        <v>1321.93</v>
      </c>
      <c r="AO400" s="468"/>
      <c r="AP400" s="333">
        <f t="shared" ref="AP400:AP408" si="92">AM400*100/V400</f>
        <v>92.869380238522538</v>
      </c>
      <c r="AQ400" s="192">
        <v>5124.6900000000005</v>
      </c>
      <c r="AR400" s="194">
        <v>120.00806502980595</v>
      </c>
      <c r="AS400" s="140" t="s">
        <v>2566</v>
      </c>
      <c r="AT400" s="11" t="s">
        <v>1643</v>
      </c>
      <c r="AU400" s="13" t="s">
        <v>1629</v>
      </c>
    </row>
    <row r="401" spans="1:48" ht="168.75" x14ac:dyDescent="0.25">
      <c r="A401" s="414" t="s">
        <v>3475</v>
      </c>
      <c r="B401" s="9"/>
      <c r="C401" s="418" t="s">
        <v>98</v>
      </c>
      <c r="D401" s="79" t="s">
        <v>99</v>
      </c>
      <c r="E401" s="9" t="s">
        <v>1430</v>
      </c>
      <c r="F401" s="19">
        <v>6510700000</v>
      </c>
      <c r="G401" s="19" t="s">
        <v>102</v>
      </c>
      <c r="H401" s="19" t="s">
        <v>103</v>
      </c>
      <c r="I401" s="75"/>
      <c r="J401" s="10" t="s">
        <v>2666</v>
      </c>
      <c r="K401" s="13"/>
      <c r="L401" s="10" t="s">
        <v>3417</v>
      </c>
      <c r="M401" s="20">
        <v>40846</v>
      </c>
      <c r="N401" s="10"/>
      <c r="O401" s="10" t="s">
        <v>8</v>
      </c>
      <c r="P401" s="27">
        <v>2.3E-3</v>
      </c>
      <c r="Q401" s="579">
        <v>853.15</v>
      </c>
      <c r="R401" s="579">
        <v>19622.45</v>
      </c>
      <c r="S401" s="663" t="s">
        <v>3341</v>
      </c>
      <c r="T401" s="371"/>
      <c r="U401" s="339">
        <f t="shared" si="87"/>
        <v>2158.4695000000002</v>
      </c>
      <c r="V401" s="339">
        <f t="shared" si="89"/>
        <v>2158.4695000000002</v>
      </c>
      <c r="W401" s="339">
        <v>11</v>
      </c>
      <c r="X401" s="333">
        <f>V401/(P401*10000)</f>
        <v>93.846500000000006</v>
      </c>
      <c r="Y401" s="334">
        <f t="shared" si="90"/>
        <v>179.87245833333336</v>
      </c>
      <c r="Z401" s="807"/>
      <c r="AA401" s="711"/>
      <c r="AB401" s="340"/>
      <c r="AC401" s="406"/>
      <c r="AD401" s="1111"/>
      <c r="AE401" s="421"/>
      <c r="AF401" s="463"/>
      <c r="AG401" s="459"/>
      <c r="AH401" s="503"/>
      <c r="AI401" s="340"/>
      <c r="AJ401" s="740"/>
      <c r="AK401" s="741"/>
      <c r="AL401" s="732"/>
      <c r="AM401" s="340">
        <f t="shared" si="91"/>
        <v>0</v>
      </c>
      <c r="AN401" s="340">
        <f t="shared" si="88"/>
        <v>0</v>
      </c>
      <c r="AO401" s="468"/>
      <c r="AP401" s="333">
        <f t="shared" si="92"/>
        <v>0</v>
      </c>
      <c r="AQ401" s="192">
        <v>2158.4899999999998</v>
      </c>
      <c r="AR401" s="194">
        <v>100.00094974703138</v>
      </c>
      <c r="AS401" s="140" t="s">
        <v>2567</v>
      </c>
      <c r="AT401" s="11" t="s">
        <v>1643</v>
      </c>
      <c r="AU401" s="13" t="s">
        <v>1629</v>
      </c>
    </row>
    <row r="402" spans="1:48" ht="168.75" x14ac:dyDescent="0.25">
      <c r="A402" s="414" t="s">
        <v>3490</v>
      </c>
      <c r="B402" s="414">
        <v>69</v>
      </c>
      <c r="C402" s="872" t="s">
        <v>3489</v>
      </c>
      <c r="D402" s="873" t="s">
        <v>477</v>
      </c>
      <c r="E402" s="874">
        <v>1792802668</v>
      </c>
      <c r="F402" s="875">
        <v>6510700000</v>
      </c>
      <c r="G402" s="875" t="s">
        <v>478</v>
      </c>
      <c r="H402" s="875" t="s">
        <v>479</v>
      </c>
      <c r="I402" s="876" t="s">
        <v>480</v>
      </c>
      <c r="J402" s="877" t="s">
        <v>481</v>
      </c>
      <c r="K402" s="878" t="s">
        <v>482</v>
      </c>
      <c r="L402" s="877" t="s">
        <v>483</v>
      </c>
      <c r="M402" s="879" t="s">
        <v>482</v>
      </c>
      <c r="N402" s="877" t="s">
        <v>484</v>
      </c>
      <c r="O402" s="874" t="s">
        <v>8</v>
      </c>
      <c r="P402" s="880">
        <v>2.3E-3</v>
      </c>
      <c r="Q402" s="881">
        <v>655.47</v>
      </c>
      <c r="R402" s="392">
        <v>15075.810000000001</v>
      </c>
      <c r="S402" s="392" t="s">
        <v>3492</v>
      </c>
      <c r="T402" s="882"/>
      <c r="U402" s="415">
        <f t="shared" si="87"/>
        <v>1658.3391000000001</v>
      </c>
      <c r="V402" s="415">
        <f t="shared" si="89"/>
        <v>1658.3391000000001</v>
      </c>
      <c r="W402" s="415">
        <v>11</v>
      </c>
      <c r="X402" s="415">
        <f>V402/(P402*10000)</f>
        <v>72.101700000000008</v>
      </c>
      <c r="Y402" s="415">
        <f t="shared" si="90"/>
        <v>138.19492500000001</v>
      </c>
      <c r="Z402" s="839"/>
      <c r="AA402" s="883"/>
      <c r="AB402" s="464"/>
      <c r="AC402" s="464"/>
      <c r="AD402" s="458"/>
      <c r="AE402" s="464"/>
      <c r="AF402" s="883"/>
      <c r="AG402" s="464"/>
      <c r="AH402" s="464"/>
      <c r="AI402" s="464"/>
      <c r="AJ402" s="884"/>
      <c r="AK402" s="883"/>
      <c r="AL402" s="885"/>
      <c r="AM402" s="464">
        <f t="shared" si="91"/>
        <v>0</v>
      </c>
      <c r="AN402" s="464">
        <f t="shared" si="88"/>
        <v>0</v>
      </c>
      <c r="AO402" s="470"/>
      <c r="AP402" s="415">
        <f t="shared" si="92"/>
        <v>0</v>
      </c>
      <c r="AQ402" s="392">
        <v>1382.0000000000002</v>
      </c>
      <c r="AR402" s="392">
        <v>83.336393624199061</v>
      </c>
      <c r="AS402" s="886" t="s">
        <v>2587</v>
      </c>
      <c r="AT402" s="887" t="s">
        <v>1643</v>
      </c>
      <c r="AU402" s="888" t="s">
        <v>1634</v>
      </c>
    </row>
    <row r="403" spans="1:48" ht="150" x14ac:dyDescent="0.25">
      <c r="A403" s="1011" t="s">
        <v>3469</v>
      </c>
      <c r="B403" s="1011">
        <v>60</v>
      </c>
      <c r="C403" s="1012" t="s">
        <v>2649</v>
      </c>
      <c r="D403" s="1013" t="s">
        <v>2650</v>
      </c>
      <c r="E403" s="976">
        <v>42295596</v>
      </c>
      <c r="F403" s="1014">
        <v>6510700000</v>
      </c>
      <c r="G403" s="1014" t="s">
        <v>2651</v>
      </c>
      <c r="H403" s="1014" t="s">
        <v>2652</v>
      </c>
      <c r="I403" s="1015" t="s">
        <v>2653</v>
      </c>
      <c r="J403" s="976" t="s">
        <v>2654</v>
      </c>
      <c r="K403" s="1016" t="s">
        <v>2655</v>
      </c>
      <c r="L403" s="976" t="s">
        <v>2656</v>
      </c>
      <c r="M403" s="1017">
        <v>43672</v>
      </c>
      <c r="N403" s="976"/>
      <c r="O403" s="976" t="s">
        <v>8</v>
      </c>
      <c r="P403" s="1018">
        <v>1.1086</v>
      </c>
      <c r="Q403" s="1019">
        <f>R403/11086</f>
        <v>197.32999999999998</v>
      </c>
      <c r="R403" s="1019">
        <v>2187600.38</v>
      </c>
      <c r="S403" s="1019" t="s">
        <v>2657</v>
      </c>
      <c r="T403" s="999"/>
      <c r="U403" s="1020">
        <f t="shared" si="87"/>
        <v>153132.02660000001</v>
      </c>
      <c r="V403" s="1020">
        <f t="shared" si="89"/>
        <v>153132.02660000001</v>
      </c>
      <c r="W403" s="1020">
        <v>7</v>
      </c>
      <c r="X403" s="1020">
        <f>U403/(P403*10000)</f>
        <v>13.8131</v>
      </c>
      <c r="Y403" s="1020">
        <f t="shared" si="90"/>
        <v>12761.002216666668</v>
      </c>
      <c r="Z403" s="928">
        <v>175</v>
      </c>
      <c r="AA403" s="1021">
        <v>12761</v>
      </c>
      <c r="AB403" s="1022">
        <v>9236.75</v>
      </c>
      <c r="AC403" s="1050"/>
      <c r="AD403" s="1022"/>
      <c r="AE403" s="1022"/>
      <c r="AF403" s="1021"/>
      <c r="AG403" s="1022"/>
      <c r="AH403" s="1022"/>
      <c r="AI403" s="1022"/>
      <c r="AJ403" s="1023"/>
      <c r="AK403" s="1021"/>
      <c r="AL403" s="1024"/>
      <c r="AM403" s="1022">
        <f t="shared" si="91"/>
        <v>22172.75</v>
      </c>
      <c r="AN403" s="1022">
        <f t="shared" si="88"/>
        <v>21997.75</v>
      </c>
      <c r="AO403" s="1220"/>
      <c r="AP403" s="1020">
        <f t="shared" si="92"/>
        <v>14.479498830063807</v>
      </c>
      <c r="AQ403" s="1019">
        <v>66273.87</v>
      </c>
      <c r="AR403" s="1025">
        <v>99.998491132460927</v>
      </c>
      <c r="AS403" s="1026">
        <v>44739</v>
      </c>
      <c r="AT403" s="1027" t="s">
        <v>2658</v>
      </c>
      <c r="AU403" s="1016" t="s">
        <v>1641</v>
      </c>
      <c r="AV403" s="1028"/>
    </row>
    <row r="404" spans="1:48" ht="281.25" x14ac:dyDescent="0.25">
      <c r="A404" s="908" t="s">
        <v>3470</v>
      </c>
      <c r="B404" s="908">
        <v>107</v>
      </c>
      <c r="C404" s="1007" t="s">
        <v>2748</v>
      </c>
      <c r="D404" s="977" t="s">
        <v>696</v>
      </c>
      <c r="E404" s="908">
        <v>2266413341</v>
      </c>
      <c r="F404" s="908">
        <v>6510700000</v>
      </c>
      <c r="G404" s="908" t="s">
        <v>697</v>
      </c>
      <c r="H404" s="908" t="s">
        <v>3468</v>
      </c>
      <c r="I404" s="1006"/>
      <c r="J404" s="1006" t="s">
        <v>698</v>
      </c>
      <c r="K404" s="1006" t="s">
        <v>1503</v>
      </c>
      <c r="L404" s="1006" t="s">
        <v>699</v>
      </c>
      <c r="M404" s="1008" t="s">
        <v>700</v>
      </c>
      <c r="N404" s="1006" t="s">
        <v>701</v>
      </c>
      <c r="O404" s="977" t="s">
        <v>8</v>
      </c>
      <c r="P404" s="997">
        <v>0.18</v>
      </c>
      <c r="Q404" s="998">
        <v>1399.72</v>
      </c>
      <c r="R404" s="998">
        <v>2519496</v>
      </c>
      <c r="S404" s="998" t="s">
        <v>1934</v>
      </c>
      <c r="T404" s="999"/>
      <c r="U404" s="1000">
        <f t="shared" si="87"/>
        <v>25194.959999999999</v>
      </c>
      <c r="V404" s="1000">
        <f t="shared" si="89"/>
        <v>25194.959999999999</v>
      </c>
      <c r="W404" s="1000">
        <v>1</v>
      </c>
      <c r="X404" s="1009">
        <f>X192/12</f>
        <v>2.1168092499999999E-2</v>
      </c>
      <c r="Y404" s="1000">
        <f t="shared" si="90"/>
        <v>2099.58</v>
      </c>
      <c r="Z404" s="918"/>
      <c r="AA404" s="1001"/>
      <c r="AB404" s="458">
        <v>3900</v>
      </c>
      <c r="AC404" s="464">
        <v>357</v>
      </c>
      <c r="AD404" s="458"/>
      <c r="AE404" s="458"/>
      <c r="AF404" s="1001"/>
      <c r="AG404" s="458"/>
      <c r="AH404" s="458"/>
      <c r="AI404" s="458"/>
      <c r="AJ404" s="990"/>
      <c r="AK404" s="1001"/>
      <c r="AL404" s="1002"/>
      <c r="AM404" s="458">
        <f t="shared" si="91"/>
        <v>4257</v>
      </c>
      <c r="AN404" s="458">
        <f t="shared" si="88"/>
        <v>4257</v>
      </c>
      <c r="AO404" s="470"/>
      <c r="AP404" s="1000">
        <f t="shared" si="92"/>
        <v>16.896236390135172</v>
      </c>
      <c r="AQ404" s="998">
        <v>26800</v>
      </c>
      <c r="AR404" s="1003">
        <v>106.37048044529541</v>
      </c>
      <c r="AS404" s="1004" t="s">
        <v>2545</v>
      </c>
      <c r="AT404" s="1010" t="s">
        <v>1763</v>
      </c>
      <c r="AU404" s="1006" t="s">
        <v>1634</v>
      </c>
    </row>
    <row r="405" spans="1:48" ht="187.5" x14ac:dyDescent="0.25">
      <c r="A405" s="908" t="s">
        <v>3493</v>
      </c>
      <c r="B405" s="908">
        <v>129</v>
      </c>
      <c r="C405" s="994" t="s">
        <v>3009</v>
      </c>
      <c r="D405" s="978" t="s">
        <v>3010</v>
      </c>
      <c r="E405" s="908">
        <v>2796601569</v>
      </c>
      <c r="F405" s="979">
        <v>6510700000</v>
      </c>
      <c r="G405" s="979" t="s">
        <v>3011</v>
      </c>
      <c r="H405" s="979" t="s">
        <v>3012</v>
      </c>
      <c r="I405" s="980" t="s">
        <v>3013</v>
      </c>
      <c r="J405" s="995" t="s">
        <v>3015</v>
      </c>
      <c r="K405" s="980" t="s">
        <v>3016</v>
      </c>
      <c r="L405" s="995" t="s">
        <v>3014</v>
      </c>
      <c r="M405" s="996">
        <v>43749</v>
      </c>
      <c r="N405" s="995"/>
      <c r="O405" s="977" t="s">
        <v>8</v>
      </c>
      <c r="P405" s="997">
        <v>6.8500000000000005E-2</v>
      </c>
      <c r="Q405" s="998">
        <f>R405/685</f>
        <v>525.42000000000007</v>
      </c>
      <c r="R405" s="998">
        <v>359912.7</v>
      </c>
      <c r="S405" s="908" t="s">
        <v>3017</v>
      </c>
      <c r="T405" s="999">
        <v>12525.06</v>
      </c>
      <c r="U405" s="1000">
        <v>12525.06</v>
      </c>
      <c r="V405" s="1000">
        <f t="shared" si="89"/>
        <v>12525.06</v>
      </c>
      <c r="W405" s="1000">
        <f>U405*100/R405</f>
        <v>3.4800272399390186</v>
      </c>
      <c r="X405" s="1000">
        <f>U405/(P405*10000)</f>
        <v>18.284759124087589</v>
      </c>
      <c r="Y405" s="1000">
        <f t="shared" si="90"/>
        <v>1043.7549999999999</v>
      </c>
      <c r="Z405" s="918"/>
      <c r="AA405" s="1001"/>
      <c r="AB405" s="458"/>
      <c r="AC405" s="464"/>
      <c r="AD405" s="458"/>
      <c r="AE405" s="458"/>
      <c r="AF405" s="1001"/>
      <c r="AG405" s="458"/>
      <c r="AH405" s="458"/>
      <c r="AI405" s="458"/>
      <c r="AJ405" s="990"/>
      <c r="AK405" s="1001"/>
      <c r="AL405" s="1002"/>
      <c r="AM405" s="458">
        <f t="shared" si="91"/>
        <v>0</v>
      </c>
      <c r="AN405" s="458">
        <f t="shared" si="88"/>
        <v>0</v>
      </c>
      <c r="AO405" s="470"/>
      <c r="AP405" s="1000">
        <f t="shared" si="92"/>
        <v>0</v>
      </c>
      <c r="AQ405" s="998">
        <v>2794.58</v>
      </c>
      <c r="AR405" s="1003">
        <v>100</v>
      </c>
      <c r="AS405" s="1004">
        <v>45567</v>
      </c>
      <c r="AT405" s="1005" t="s">
        <v>3018</v>
      </c>
      <c r="AU405" s="1006" t="s">
        <v>1634</v>
      </c>
    </row>
    <row r="406" spans="1:48" ht="243.75" x14ac:dyDescent="0.25">
      <c r="A406" s="908" t="s">
        <v>3473</v>
      </c>
      <c r="B406" s="908">
        <v>159</v>
      </c>
      <c r="C406" s="976" t="s">
        <v>3472</v>
      </c>
      <c r="D406" s="977" t="s">
        <v>957</v>
      </c>
      <c r="E406" s="978" t="s">
        <v>3308</v>
      </c>
      <c r="F406" s="979">
        <v>6510700000</v>
      </c>
      <c r="G406" s="979" t="s">
        <v>958</v>
      </c>
      <c r="H406" s="979" t="s">
        <v>959</v>
      </c>
      <c r="I406" s="980" t="s">
        <v>133</v>
      </c>
      <c r="J406" s="981" t="s">
        <v>960</v>
      </c>
      <c r="K406" s="981" t="s">
        <v>561</v>
      </c>
      <c r="L406" s="981" t="s">
        <v>961</v>
      </c>
      <c r="M406" s="982" t="s">
        <v>1535</v>
      </c>
      <c r="N406" s="981" t="s">
        <v>3309</v>
      </c>
      <c r="O406" s="978" t="s">
        <v>8</v>
      </c>
      <c r="P406" s="983">
        <v>7.1999999999999998E-3</v>
      </c>
      <c r="Q406" s="984">
        <v>853.15</v>
      </c>
      <c r="R406" s="985">
        <v>61426.799999999996</v>
      </c>
      <c r="S406" s="985" t="s">
        <v>962</v>
      </c>
      <c r="T406" s="986"/>
      <c r="U406" s="987">
        <f>R406*W406%</f>
        <v>6756.9479999999994</v>
      </c>
      <c r="V406" s="987">
        <f t="shared" si="89"/>
        <v>6756.9479999999994</v>
      </c>
      <c r="W406" s="987">
        <v>11</v>
      </c>
      <c r="X406" s="987">
        <f>V406/(P406*10000)</f>
        <v>93.846499999999992</v>
      </c>
      <c r="Y406" s="987">
        <f t="shared" si="90"/>
        <v>563.07899999999995</v>
      </c>
      <c r="AA406" s="988">
        <f>216.92+445</f>
        <v>661.92</v>
      </c>
      <c r="AB406" s="989"/>
      <c r="AC406" s="1051"/>
      <c r="AD406" s="989"/>
      <c r="AE406" s="989"/>
      <c r="AF406" s="989"/>
      <c r="AG406" s="989"/>
      <c r="AH406" s="989"/>
      <c r="AI406" s="989"/>
      <c r="AJ406" s="990"/>
      <c r="AK406" s="458"/>
      <c r="AL406" s="991"/>
      <c r="AM406" s="458">
        <f>SUM(AA406:AK406)</f>
        <v>661.92</v>
      </c>
      <c r="AN406" s="458">
        <f t="shared" si="88"/>
        <v>661.92</v>
      </c>
      <c r="AO406" s="1221"/>
      <c r="AP406" s="987">
        <f t="shared" si="92"/>
        <v>9.7961387300893836</v>
      </c>
      <c r="AQ406" s="985">
        <v>4399.4600000000009</v>
      </c>
      <c r="AR406" s="992">
        <v>65.110165121886411</v>
      </c>
      <c r="AS406" s="993" t="s">
        <v>2573</v>
      </c>
      <c r="AT406" s="978" t="s">
        <v>1799</v>
      </c>
      <c r="AU406" s="981" t="s">
        <v>1634</v>
      </c>
    </row>
    <row r="407" spans="1:48" ht="356.25" x14ac:dyDescent="0.25">
      <c r="A407" s="414" t="s">
        <v>3471</v>
      </c>
      <c r="B407" s="414">
        <v>206</v>
      </c>
      <c r="C407" s="889" t="s">
        <v>1166</v>
      </c>
      <c r="D407" s="893" t="s">
        <v>1167</v>
      </c>
      <c r="E407" s="874">
        <v>2960515206</v>
      </c>
      <c r="F407" s="875">
        <v>6510700000</v>
      </c>
      <c r="G407" s="875" t="s">
        <v>1168</v>
      </c>
      <c r="H407" s="875" t="s">
        <v>1169</v>
      </c>
      <c r="I407" s="876" t="s">
        <v>1170</v>
      </c>
      <c r="J407" s="877" t="s">
        <v>1171</v>
      </c>
      <c r="K407" s="878" t="s">
        <v>1554</v>
      </c>
      <c r="L407" s="877" t="s">
        <v>1172</v>
      </c>
      <c r="M407" s="879" t="s">
        <v>1173</v>
      </c>
      <c r="N407" s="877"/>
      <c r="O407" s="874" t="s">
        <v>8</v>
      </c>
      <c r="P407" s="890">
        <v>0.1812</v>
      </c>
      <c r="Q407" s="392">
        <v>208.16</v>
      </c>
      <c r="R407" s="392">
        <v>377185.92</v>
      </c>
      <c r="S407" s="392" t="s">
        <v>1174</v>
      </c>
      <c r="T407" s="882"/>
      <c r="U407" s="415">
        <f>R407*W407%</f>
        <v>32060.803200000002</v>
      </c>
      <c r="V407" s="415">
        <f t="shared" si="89"/>
        <v>32060.803200000002</v>
      </c>
      <c r="W407" s="415">
        <v>8.5</v>
      </c>
      <c r="X407" s="415">
        <f>V407/(P407*10000)</f>
        <v>17.6936</v>
      </c>
      <c r="Y407" s="415">
        <f t="shared" si="90"/>
        <v>2671.7336</v>
      </c>
      <c r="Z407" s="839"/>
      <c r="AA407" s="883"/>
      <c r="AB407" s="464"/>
      <c r="AC407" s="464"/>
      <c r="AD407" s="458"/>
      <c r="AE407" s="464"/>
      <c r="AF407" s="883"/>
      <c r="AG407" s="464"/>
      <c r="AH407" s="464"/>
      <c r="AI407" s="464"/>
      <c r="AJ407" s="884"/>
      <c r="AK407" s="883"/>
      <c r="AL407" s="885"/>
      <c r="AM407" s="464">
        <f>SUM(Z407:AK407)</f>
        <v>0</v>
      </c>
      <c r="AN407" s="464">
        <f t="shared" si="88"/>
        <v>0</v>
      </c>
      <c r="AO407" s="470"/>
      <c r="AP407" s="415">
        <f t="shared" si="92"/>
        <v>0</v>
      </c>
      <c r="AQ407" s="392">
        <v>29387.84</v>
      </c>
      <c r="AR407" s="460">
        <v>91.66283145395434</v>
      </c>
      <c r="AS407" s="895">
        <v>44175</v>
      </c>
      <c r="AT407" s="894" t="s">
        <v>1821</v>
      </c>
      <c r="AU407" s="888" t="s">
        <v>1639</v>
      </c>
    </row>
    <row r="408" spans="1:48" ht="150" x14ac:dyDescent="0.25">
      <c r="A408" s="414" t="s">
        <v>3530</v>
      </c>
      <c r="B408" s="414">
        <v>231</v>
      </c>
      <c r="C408" s="889" t="s">
        <v>2772</v>
      </c>
      <c r="D408" s="973" t="s">
        <v>1244</v>
      </c>
      <c r="E408" s="874">
        <v>2203816311</v>
      </c>
      <c r="F408" s="875">
        <v>6510700000</v>
      </c>
      <c r="G408" s="875" t="s">
        <v>1245</v>
      </c>
      <c r="H408" s="875" t="s">
        <v>1246</v>
      </c>
      <c r="I408" s="876" t="s">
        <v>133</v>
      </c>
      <c r="J408" s="392" t="s">
        <v>1247</v>
      </c>
      <c r="K408" s="888" t="s">
        <v>561</v>
      </c>
      <c r="L408" s="874" t="s">
        <v>1248</v>
      </c>
      <c r="M408" s="879" t="s">
        <v>1535</v>
      </c>
      <c r="N408" s="877"/>
      <c r="O408" s="874" t="s">
        <v>8</v>
      </c>
      <c r="P408" s="890">
        <v>2.2599999999999999E-2</v>
      </c>
      <c r="Q408" s="392">
        <v>1755.72</v>
      </c>
      <c r="R408" s="392">
        <v>396792.72</v>
      </c>
      <c r="S408" s="973" t="s">
        <v>1249</v>
      </c>
      <c r="T408" s="882"/>
      <c r="U408" s="415">
        <f>R408*W408%</f>
        <v>11903.781599999998</v>
      </c>
      <c r="V408" s="415">
        <f t="shared" si="89"/>
        <v>11903.781599999998</v>
      </c>
      <c r="W408" s="415">
        <v>3</v>
      </c>
      <c r="X408" s="415">
        <f t="shared" ref="X408" si="93">V408/(P408*10000)</f>
        <v>52.671599999999998</v>
      </c>
      <c r="Y408" s="415">
        <f t="shared" si="90"/>
        <v>991.98179999999991</v>
      </c>
      <c r="Z408" s="839"/>
      <c r="AA408" s="883"/>
      <c r="AB408" s="464"/>
      <c r="AC408" s="464"/>
      <c r="AD408" s="458"/>
      <c r="AE408" s="464"/>
      <c r="AF408" s="883"/>
      <c r="AG408" s="464"/>
      <c r="AH408" s="464"/>
      <c r="AI408" s="464"/>
      <c r="AJ408" s="884"/>
      <c r="AK408" s="883"/>
      <c r="AL408" s="885"/>
      <c r="AM408" s="464">
        <f t="shared" ref="AM408:AN419" si="94">SUM(Z408:AK408)</f>
        <v>0</v>
      </c>
      <c r="AN408" s="464">
        <f t="shared" si="88"/>
        <v>0</v>
      </c>
      <c r="AO408" s="470"/>
      <c r="AP408" s="415">
        <f t="shared" si="92"/>
        <v>0</v>
      </c>
      <c r="AQ408" s="392">
        <v>170</v>
      </c>
      <c r="AR408" s="460">
        <v>1.428117599200577</v>
      </c>
      <c r="AS408" s="891" t="s">
        <v>2573</v>
      </c>
      <c r="AT408" s="892" t="s">
        <v>1830</v>
      </c>
      <c r="AU408" s="974" t="s">
        <v>1634</v>
      </c>
      <c r="AV408" s="975" t="s">
        <v>2091</v>
      </c>
    </row>
    <row r="409" spans="1:48" ht="168.75" x14ac:dyDescent="0.25">
      <c r="A409" s="908">
        <v>147</v>
      </c>
      <c r="B409" s="908">
        <v>79</v>
      </c>
      <c r="C409" s="1007" t="s">
        <v>539</v>
      </c>
      <c r="D409" s="977" t="s">
        <v>540</v>
      </c>
      <c r="E409" s="977" t="s">
        <v>1481</v>
      </c>
      <c r="F409" s="979">
        <v>6510700000</v>
      </c>
      <c r="G409" s="977" t="s">
        <v>2121</v>
      </c>
      <c r="H409" s="977" t="s">
        <v>541</v>
      </c>
      <c r="I409" s="980" t="s">
        <v>2122</v>
      </c>
      <c r="J409" s="979" t="s">
        <v>2820</v>
      </c>
      <c r="K409" s="980"/>
      <c r="L409" s="977" t="s">
        <v>2819</v>
      </c>
      <c r="M409" s="1008" t="s">
        <v>542</v>
      </c>
      <c r="N409" s="977"/>
      <c r="O409" s="977" t="s">
        <v>8</v>
      </c>
      <c r="P409" s="997">
        <v>9.9000000000000008E-3</v>
      </c>
      <c r="Q409" s="998">
        <v>726.33</v>
      </c>
      <c r="R409" s="998">
        <v>71906.670000000013</v>
      </c>
      <c r="S409" s="908" t="s">
        <v>2123</v>
      </c>
      <c r="T409" s="999" t="s">
        <v>2124</v>
      </c>
      <c r="U409" s="1000">
        <f>R409*W409%</f>
        <v>8384.3177220000016</v>
      </c>
      <c r="V409" s="1000">
        <f>U409</f>
        <v>8384.3177220000016</v>
      </c>
      <c r="W409" s="1000">
        <v>11.66</v>
      </c>
      <c r="X409" s="1000">
        <f>V409/(P409*10000)</f>
        <v>84.690078</v>
      </c>
      <c r="Y409" s="1000">
        <f>V409/12</f>
        <v>698.69314350000013</v>
      </c>
      <c r="Z409" s="918"/>
      <c r="AA409" s="1001"/>
      <c r="AB409" s="458"/>
      <c r="AC409" s="458"/>
      <c r="AD409" s="458"/>
      <c r="AE409" s="458"/>
      <c r="AF409" s="1001"/>
      <c r="AG409" s="458"/>
      <c r="AH409" s="458"/>
      <c r="AI409" s="458"/>
      <c r="AJ409" s="990"/>
      <c r="AK409" s="1001"/>
      <c r="AL409" s="1002"/>
      <c r="AM409" s="458">
        <f t="shared" si="94"/>
        <v>0</v>
      </c>
      <c r="AN409" s="458">
        <f t="shared" si="94"/>
        <v>0</v>
      </c>
      <c r="AO409" s="470"/>
      <c r="AP409" s="1000">
        <f>AM409*100/V409</f>
        <v>0</v>
      </c>
      <c r="AQ409" s="998">
        <v>9020</v>
      </c>
      <c r="AR409" s="1003">
        <v>107.58180091782546</v>
      </c>
      <c r="AS409" s="1004" t="s">
        <v>1744</v>
      </c>
      <c r="AT409" s="1010" t="s">
        <v>1727</v>
      </c>
      <c r="AU409" s="1006" t="s">
        <v>1634</v>
      </c>
    </row>
    <row r="410" spans="1:48" ht="150" x14ac:dyDescent="0.25">
      <c r="A410" s="908">
        <v>187</v>
      </c>
      <c r="B410" s="908">
        <v>114</v>
      </c>
      <c r="C410" s="1007" t="s">
        <v>3121</v>
      </c>
      <c r="D410" s="977" t="s">
        <v>3122</v>
      </c>
      <c r="E410" s="977">
        <v>2420202168</v>
      </c>
      <c r="F410" s="979">
        <v>6510700000</v>
      </c>
      <c r="G410" s="979" t="s">
        <v>463</v>
      </c>
      <c r="H410" s="979" t="s">
        <v>3123</v>
      </c>
      <c r="I410" s="980" t="s">
        <v>3124</v>
      </c>
      <c r="J410" s="977" t="s">
        <v>3125</v>
      </c>
      <c r="K410" s="1006" t="s">
        <v>3126</v>
      </c>
      <c r="L410" s="977" t="s">
        <v>3127</v>
      </c>
      <c r="M410" s="1008">
        <v>43766</v>
      </c>
      <c r="N410" s="977"/>
      <c r="O410" s="977" t="s">
        <v>8</v>
      </c>
      <c r="P410" s="997">
        <v>1.12E-2</v>
      </c>
      <c r="Q410" s="998">
        <f>R410/112</f>
        <v>2043.23</v>
      </c>
      <c r="R410" s="998">
        <v>228841.76</v>
      </c>
      <c r="S410" s="998" t="s">
        <v>3128</v>
      </c>
      <c r="T410" s="999"/>
      <c r="U410" s="1000">
        <v>21167.86</v>
      </c>
      <c r="V410" s="1000">
        <f>U410</f>
        <v>21167.86</v>
      </c>
      <c r="W410" s="1000">
        <v>9.25</v>
      </c>
      <c r="X410" s="1000">
        <f>U410/(P410*10000)</f>
        <v>188.99875</v>
      </c>
      <c r="Y410" s="1000">
        <f>V410/12</f>
        <v>1763.9883333333335</v>
      </c>
      <c r="Z410" s="918"/>
      <c r="AA410" s="1001"/>
      <c r="AB410" s="458"/>
      <c r="AC410" s="458"/>
      <c r="AD410" s="458"/>
      <c r="AE410" s="458"/>
      <c r="AF410" s="1001"/>
      <c r="AG410" s="458"/>
      <c r="AH410" s="458"/>
      <c r="AI410" s="458"/>
      <c r="AJ410" s="990"/>
      <c r="AK410" s="1001"/>
      <c r="AL410" s="1002"/>
      <c r="AM410" s="458">
        <f t="shared" si="94"/>
        <v>0</v>
      </c>
      <c r="AN410" s="458">
        <f t="shared" si="94"/>
        <v>0</v>
      </c>
      <c r="AO410" s="470"/>
      <c r="AP410" s="1000">
        <f>AM410*100/V410</f>
        <v>0</v>
      </c>
      <c r="AQ410" s="998">
        <v>7285</v>
      </c>
      <c r="AR410" s="1003">
        <v>193.97751085714893</v>
      </c>
      <c r="AS410" s="1004">
        <v>44844</v>
      </c>
      <c r="AT410" s="1010" t="s">
        <v>1730</v>
      </c>
      <c r="AU410" s="1006" t="s">
        <v>1634</v>
      </c>
    </row>
    <row r="411" spans="1:48" ht="393.75" x14ac:dyDescent="0.25">
      <c r="A411" s="908">
        <v>360</v>
      </c>
      <c r="B411" s="908">
        <v>256</v>
      </c>
      <c r="C411" s="1056" t="s">
        <v>1387</v>
      </c>
      <c r="D411" s="1057" t="s">
        <v>1388</v>
      </c>
      <c r="E411" s="1058" t="s">
        <v>1596</v>
      </c>
      <c r="F411" s="1059">
        <v>6510700000</v>
      </c>
      <c r="G411" s="1059" t="s">
        <v>1389</v>
      </c>
      <c r="H411" s="1059" t="s">
        <v>1390</v>
      </c>
      <c r="I411" s="1060" t="s">
        <v>1391</v>
      </c>
      <c r="J411" s="1061" t="s">
        <v>1392</v>
      </c>
      <c r="K411" s="1060" t="s">
        <v>1597</v>
      </c>
      <c r="L411" s="1062" t="s">
        <v>1393</v>
      </c>
      <c r="M411" s="1061" t="s">
        <v>518</v>
      </c>
      <c r="N411" s="1062"/>
      <c r="O411" s="1058" t="s">
        <v>8</v>
      </c>
      <c r="P411" s="1063">
        <v>3.4599999999999999E-2</v>
      </c>
      <c r="Q411" s="1064">
        <v>646.1</v>
      </c>
      <c r="R411" s="1065">
        <v>223551.14</v>
      </c>
      <c r="S411" s="1066" t="s">
        <v>1394</v>
      </c>
      <c r="T411" s="1067"/>
      <c r="U411" s="1000">
        <f>R411*W411%</f>
        <v>19001.846900000004</v>
      </c>
      <c r="V411" s="1052">
        <f>U411</f>
        <v>19001.846900000004</v>
      </c>
      <c r="W411" s="1052">
        <v>8.5</v>
      </c>
      <c r="X411" s="1052">
        <f>V411/(P411*10000)</f>
        <v>54.918632658959552</v>
      </c>
      <c r="Y411" s="1052">
        <f>V411/12</f>
        <v>1583.4872416666669</v>
      </c>
      <c r="Z411" s="918"/>
      <c r="AA411" s="634">
        <v>300</v>
      </c>
      <c r="AB411" s="459"/>
      <c r="AC411" s="459">
        <v>300</v>
      </c>
      <c r="AD411" s="459"/>
      <c r="AE411" s="459"/>
      <c r="AF411" s="634"/>
      <c r="AG411" s="459"/>
      <c r="AH411" s="459"/>
      <c r="AI411" s="459"/>
      <c r="AJ411" s="1038"/>
      <c r="AK411" s="634"/>
      <c r="AL411" s="1053"/>
      <c r="AM411" s="459">
        <f t="shared" si="94"/>
        <v>600</v>
      </c>
      <c r="AN411" s="459">
        <f t="shared" si="94"/>
        <v>600</v>
      </c>
      <c r="AO411" s="468"/>
      <c r="AP411" s="1052">
        <f>AM411*100/V411</f>
        <v>3.1575878026888002</v>
      </c>
      <c r="AQ411" s="1068">
        <v>19001.849999999999</v>
      </c>
      <c r="AR411" s="1069">
        <v>100.00001631420362</v>
      </c>
      <c r="AS411" s="1070">
        <v>43761</v>
      </c>
      <c r="AT411" s="1071" t="s">
        <v>1849</v>
      </c>
      <c r="AU411" s="1072" t="s">
        <v>1850</v>
      </c>
      <c r="AV411" s="1073" t="s">
        <v>2022</v>
      </c>
    </row>
    <row r="412" spans="1:48" ht="409.5" x14ac:dyDescent="0.25">
      <c r="A412" s="908">
        <v>364</v>
      </c>
      <c r="B412" s="908">
        <v>260</v>
      </c>
      <c r="C412" s="994" t="s">
        <v>3172</v>
      </c>
      <c r="D412" s="978" t="s">
        <v>3173</v>
      </c>
      <c r="E412" s="908">
        <v>2591009103</v>
      </c>
      <c r="F412" s="979">
        <v>6510700000</v>
      </c>
      <c r="G412" s="908" t="s">
        <v>3174</v>
      </c>
      <c r="H412" s="908" t="s">
        <v>3175</v>
      </c>
      <c r="I412" s="1006" t="s">
        <v>3176</v>
      </c>
      <c r="J412" s="1008" t="s">
        <v>3178</v>
      </c>
      <c r="K412" s="1006" t="s">
        <v>3156</v>
      </c>
      <c r="L412" s="977" t="s">
        <v>3177</v>
      </c>
      <c r="M412" s="1008">
        <v>43782</v>
      </c>
      <c r="N412" s="977"/>
      <c r="O412" s="977" t="s">
        <v>8</v>
      </c>
      <c r="P412" s="983">
        <v>0.25829999999999997</v>
      </c>
      <c r="Q412" s="984">
        <f>R412/2583</f>
        <v>1595.57</v>
      </c>
      <c r="R412" s="998">
        <v>4121357.31</v>
      </c>
      <c r="S412" s="998" t="s">
        <v>3179</v>
      </c>
      <c r="T412" s="999"/>
      <c r="U412" s="1000">
        <v>329708.58</v>
      </c>
      <c r="V412" s="1000">
        <f>U412</f>
        <v>329708.58</v>
      </c>
      <c r="W412" s="1000">
        <f>U412*100/R412</f>
        <v>7.9999998835335147</v>
      </c>
      <c r="X412" s="1000">
        <f>U412/(P412*10000)</f>
        <v>127.64559814169573</v>
      </c>
      <c r="Y412" s="1000">
        <f>V412/12</f>
        <v>27475.715</v>
      </c>
      <c r="Z412" s="928"/>
      <c r="AA412" s="1075">
        <f>27475.72+27475.72</f>
        <v>54951.44</v>
      </c>
      <c r="AB412" s="458"/>
      <c r="AC412" s="464"/>
      <c r="AD412" s="458"/>
      <c r="AE412" s="458"/>
      <c r="AF412" s="1001"/>
      <c r="AG412" s="458"/>
      <c r="AH412" s="458"/>
      <c r="AI412" s="1076"/>
      <c r="AJ412" s="990"/>
      <c r="AK412" s="1001"/>
      <c r="AL412" s="1002"/>
      <c r="AM412" s="458">
        <f t="shared" si="94"/>
        <v>54951.44</v>
      </c>
      <c r="AN412" s="458">
        <f t="shared" si="94"/>
        <v>54951.44</v>
      </c>
      <c r="AO412" s="470"/>
      <c r="AP412" s="1000">
        <f>AM412*100/V412</f>
        <v>16.666669699648093</v>
      </c>
      <c r="AQ412" s="998">
        <v>43961.15</v>
      </c>
      <c r="AR412" s="1003">
        <v>100</v>
      </c>
      <c r="AS412" s="1004">
        <v>44844</v>
      </c>
      <c r="AT412" s="1077" t="s">
        <v>3181</v>
      </c>
      <c r="AU412" s="1006" t="s">
        <v>3180</v>
      </c>
    </row>
    <row r="413" spans="1:48" ht="243.75" x14ac:dyDescent="0.25">
      <c r="A413" s="414">
        <v>123</v>
      </c>
      <c r="B413" s="414">
        <v>59</v>
      </c>
      <c r="C413" s="889" t="s">
        <v>2530</v>
      </c>
      <c r="D413" s="1079" t="s">
        <v>2531</v>
      </c>
      <c r="E413" s="874">
        <v>33867229</v>
      </c>
      <c r="F413" s="875">
        <v>6510700000</v>
      </c>
      <c r="G413" s="875" t="s">
        <v>2532</v>
      </c>
      <c r="H413" s="875" t="s">
        <v>2533</v>
      </c>
      <c r="I413" s="876" t="s">
        <v>2534</v>
      </c>
      <c r="J413" s="874" t="s">
        <v>2535</v>
      </c>
      <c r="K413" s="888" t="s">
        <v>2536</v>
      </c>
      <c r="L413" s="874" t="s">
        <v>2537</v>
      </c>
      <c r="M413" s="886">
        <v>43669</v>
      </c>
      <c r="N413" s="874"/>
      <c r="O413" s="874" t="s">
        <v>8</v>
      </c>
      <c r="P413" s="890">
        <v>10.6175</v>
      </c>
      <c r="Q413" s="392">
        <f>R413/106175</f>
        <v>179.99</v>
      </c>
      <c r="R413" s="392">
        <v>19110438.25</v>
      </c>
      <c r="S413" s="392" t="s">
        <v>2538</v>
      </c>
      <c r="T413" s="882"/>
      <c r="U413" s="415">
        <f>R413*W413%</f>
        <v>1528835.06</v>
      </c>
      <c r="V413" s="415">
        <f t="shared" ref="V413" si="95">U413</f>
        <v>1528835.06</v>
      </c>
      <c r="W413" s="415">
        <v>8</v>
      </c>
      <c r="X413" s="415">
        <f t="shared" ref="X413" si="96">U413/(P413*10000)</f>
        <v>14.3992</v>
      </c>
      <c r="Y413" s="415">
        <f t="shared" ref="Y413:Y419" si="97">V413/12</f>
        <v>127402.92166666668</v>
      </c>
      <c r="Z413" s="839"/>
      <c r="AA413" s="883"/>
      <c r="AB413" s="464">
        <v>127402.92</v>
      </c>
      <c r="AC413" s="464"/>
      <c r="AD413" s="458"/>
      <c r="AE413" s="464"/>
      <c r="AF413" s="883"/>
      <c r="AG413" s="464"/>
      <c r="AH413" s="464"/>
      <c r="AI413" s="464"/>
      <c r="AJ413" s="884"/>
      <c r="AK413" s="883"/>
      <c r="AL413" s="885"/>
      <c r="AM413" s="464">
        <f t="shared" si="94"/>
        <v>127402.92</v>
      </c>
      <c r="AN413" s="464">
        <f t="shared" ref="AN413" si="98">SUM(AA413:AL413)</f>
        <v>127402.92</v>
      </c>
      <c r="AO413" s="470"/>
      <c r="AP413" s="415">
        <f t="shared" ref="AP413:AP419" si="99">AM413*100/V413</f>
        <v>8.333333224317867</v>
      </c>
      <c r="AQ413" s="392">
        <v>614949.57999999996</v>
      </c>
      <c r="AR413" s="1078">
        <v>91.238466252664253</v>
      </c>
      <c r="AS413" s="891">
        <v>44739</v>
      </c>
      <c r="AT413" s="892" t="s">
        <v>2539</v>
      </c>
      <c r="AU413" s="888" t="s">
        <v>1639</v>
      </c>
    </row>
    <row r="414" spans="1:48" ht="150" x14ac:dyDescent="0.25">
      <c r="A414" s="929">
        <v>152</v>
      </c>
      <c r="B414" s="929">
        <v>83</v>
      </c>
      <c r="C414" s="930" t="s">
        <v>558</v>
      </c>
      <c r="D414" s="931" t="s">
        <v>557</v>
      </c>
      <c r="E414" s="929">
        <v>2439213215</v>
      </c>
      <c r="F414" s="929">
        <v>6510700000</v>
      </c>
      <c r="G414" s="929" t="s">
        <v>1918</v>
      </c>
      <c r="H414" s="932" t="s">
        <v>559</v>
      </c>
      <c r="I414" s="933" t="s">
        <v>1919</v>
      </c>
      <c r="J414" s="934" t="s">
        <v>1920</v>
      </c>
      <c r="K414" s="934" t="s">
        <v>1894</v>
      </c>
      <c r="L414" s="934" t="s">
        <v>1921</v>
      </c>
      <c r="M414" s="935" t="s">
        <v>1922</v>
      </c>
      <c r="N414" s="934"/>
      <c r="O414" s="931" t="s">
        <v>8</v>
      </c>
      <c r="P414" s="936">
        <v>5.6300000000000003E-2</v>
      </c>
      <c r="Q414" s="937">
        <f>R414/563</f>
        <v>556.62</v>
      </c>
      <c r="R414" s="938">
        <v>313377.06</v>
      </c>
      <c r="S414" s="938" t="s">
        <v>1924</v>
      </c>
      <c r="T414" s="939"/>
      <c r="U414" s="940">
        <v>9918.42</v>
      </c>
      <c r="V414" s="941">
        <v>9198.59</v>
      </c>
      <c r="W414" s="940">
        <v>3.165</v>
      </c>
      <c r="X414" s="940">
        <f>V414/(P414*10000)</f>
        <v>16.338525754884547</v>
      </c>
      <c r="Y414" s="940">
        <f t="shared" si="97"/>
        <v>766.54916666666668</v>
      </c>
      <c r="Z414" s="942">
        <v>470.07</v>
      </c>
      <c r="AA414" s="901"/>
      <c r="AB414" s="943">
        <v>1600</v>
      </c>
      <c r="AC414" s="408">
        <v>600</v>
      </c>
      <c r="AD414" s="486">
        <v>810</v>
      </c>
      <c r="AE414" s="486"/>
      <c r="AF414" s="901"/>
      <c r="AG414" s="901"/>
      <c r="AH414" s="486"/>
      <c r="AI414" s="486"/>
      <c r="AJ414" s="944"/>
      <c r="AK414" s="901"/>
      <c r="AL414" s="945"/>
      <c r="AM414" s="486">
        <f t="shared" si="94"/>
        <v>3480.07</v>
      </c>
      <c r="AN414" s="486">
        <f t="shared" si="94"/>
        <v>3010</v>
      </c>
      <c r="AO414" s="1216"/>
      <c r="AP414" s="940">
        <f t="shared" si="99"/>
        <v>37.832646090324715</v>
      </c>
      <c r="AQ414" s="938">
        <v>13311.404166666667</v>
      </c>
      <c r="AR414" s="946">
        <v>144.71135431263559</v>
      </c>
      <c r="AS414" s="947" t="s">
        <v>2577</v>
      </c>
      <c r="AT414" s="948" t="s">
        <v>1923</v>
      </c>
      <c r="AU414" s="934" t="s">
        <v>1634</v>
      </c>
    </row>
    <row r="415" spans="1:48" ht="187.5" x14ac:dyDescent="0.25">
      <c r="A415" s="908">
        <v>206</v>
      </c>
      <c r="B415" s="909" t="s">
        <v>3569</v>
      </c>
      <c r="C415" s="1089" t="s">
        <v>3009</v>
      </c>
      <c r="D415" s="1090" t="s">
        <v>3010</v>
      </c>
      <c r="E415" s="929">
        <v>2796601569</v>
      </c>
      <c r="F415" s="932">
        <v>6510700000</v>
      </c>
      <c r="G415" s="932" t="s">
        <v>3343</v>
      </c>
      <c r="H415" s="932" t="s">
        <v>3344</v>
      </c>
      <c r="I415" s="933" t="s">
        <v>3345</v>
      </c>
      <c r="J415" s="1091" t="s">
        <v>3346</v>
      </c>
      <c r="K415" s="933" t="s">
        <v>3347</v>
      </c>
      <c r="L415" s="1091" t="s">
        <v>3348</v>
      </c>
      <c r="M415" s="1092">
        <v>43841</v>
      </c>
      <c r="N415" s="1091"/>
      <c r="O415" s="931" t="s">
        <v>8</v>
      </c>
      <c r="P415" s="1093">
        <v>2.41E-2</v>
      </c>
      <c r="Q415" s="938">
        <f>R415/241</f>
        <v>525.41999999999996</v>
      </c>
      <c r="R415" s="938">
        <v>126626.22</v>
      </c>
      <c r="S415" s="929" t="s">
        <v>3349</v>
      </c>
      <c r="T415" s="939">
        <v>11649.6</v>
      </c>
      <c r="U415" s="940">
        <v>11649.6</v>
      </c>
      <c r="V415" s="940">
        <v>11336.44</v>
      </c>
      <c r="W415" s="940">
        <f>U415*100/R415</f>
        <v>9.1999903337555207</v>
      </c>
      <c r="X415" s="940">
        <f>U415/(P415*10000)</f>
        <v>48.338589211618256</v>
      </c>
      <c r="Y415" s="940">
        <f t="shared" si="97"/>
        <v>944.70333333333338</v>
      </c>
      <c r="Z415" s="918">
        <v>1701.4</v>
      </c>
      <c r="AA415" s="901"/>
      <c r="AB415" s="486"/>
      <c r="AC415" s="486"/>
      <c r="AD415" s="486"/>
      <c r="AE415" s="486"/>
      <c r="AF415" s="901"/>
      <c r="AG415" s="486"/>
      <c r="AH415" s="486"/>
      <c r="AI415" s="486"/>
      <c r="AJ415" s="944"/>
      <c r="AK415" s="901"/>
      <c r="AL415" s="945"/>
      <c r="AM415" s="459">
        <f t="shared" si="94"/>
        <v>1701.4</v>
      </c>
      <c r="AN415" s="459">
        <f t="shared" si="94"/>
        <v>0</v>
      </c>
      <c r="AO415" s="468"/>
      <c r="AP415" s="940">
        <f t="shared" si="99"/>
        <v>15.00823891803776</v>
      </c>
      <c r="AQ415" s="938" t="s">
        <v>1887</v>
      </c>
      <c r="AR415" s="946" t="s">
        <v>1887</v>
      </c>
      <c r="AS415" s="947">
        <v>45646</v>
      </c>
      <c r="AT415" s="1094" t="s">
        <v>3018</v>
      </c>
      <c r="AU415" s="934" t="s">
        <v>1634</v>
      </c>
    </row>
    <row r="416" spans="1:48" ht="187.5" x14ac:dyDescent="0.25">
      <c r="A416" s="414">
        <v>186</v>
      </c>
      <c r="B416" s="414" t="s">
        <v>3570</v>
      </c>
      <c r="C416" s="889" t="s">
        <v>3223</v>
      </c>
      <c r="D416" s="893" t="s">
        <v>723</v>
      </c>
      <c r="E416" s="414">
        <v>1697014254</v>
      </c>
      <c r="F416" s="875">
        <v>6510700000</v>
      </c>
      <c r="G416" s="875" t="s">
        <v>3218</v>
      </c>
      <c r="H416" s="875" t="s">
        <v>3224</v>
      </c>
      <c r="I416" s="876" t="s">
        <v>3220</v>
      </c>
      <c r="J416" s="879" t="s">
        <v>3222</v>
      </c>
      <c r="K416" s="878" t="s">
        <v>3226</v>
      </c>
      <c r="L416" s="879" t="s">
        <v>3221</v>
      </c>
      <c r="M416" s="879">
        <v>43798</v>
      </c>
      <c r="N416" s="879"/>
      <c r="O416" s="905" t="s">
        <v>8</v>
      </c>
      <c r="P416" s="906">
        <v>6.1499999999999999E-2</v>
      </c>
      <c r="Q416" s="907">
        <f>R416/615</f>
        <v>283.52</v>
      </c>
      <c r="R416" s="392">
        <v>174364.79999999999</v>
      </c>
      <c r="S416" s="392" t="s">
        <v>3229</v>
      </c>
      <c r="T416" s="882"/>
      <c r="U416" s="415">
        <f>R416*W416%</f>
        <v>871.82399999999996</v>
      </c>
      <c r="V416" s="415">
        <f>U416</f>
        <v>871.82399999999996</v>
      </c>
      <c r="W416" s="415">
        <v>0.5</v>
      </c>
      <c r="X416" s="415">
        <f>V416/(P416*10000)</f>
        <v>1.4176</v>
      </c>
      <c r="Y416" s="415">
        <f t="shared" si="97"/>
        <v>72.652000000000001</v>
      </c>
      <c r="Z416" s="839"/>
      <c r="AA416" s="883"/>
      <c r="AB416" s="464"/>
      <c r="AC416" s="464"/>
      <c r="AD416" s="458"/>
      <c r="AE416" s="464"/>
      <c r="AF416" s="883"/>
      <c r="AG416" s="464"/>
      <c r="AH416" s="464"/>
      <c r="AI416" s="464"/>
      <c r="AJ416" s="884"/>
      <c r="AK416" s="883"/>
      <c r="AL416" s="885"/>
      <c r="AM416" s="406">
        <f t="shared" si="94"/>
        <v>0</v>
      </c>
      <c r="AN416" s="406">
        <f t="shared" si="94"/>
        <v>0</v>
      </c>
      <c r="AO416" s="468"/>
      <c r="AP416" s="415">
        <f t="shared" si="99"/>
        <v>0</v>
      </c>
      <c r="AQ416" s="392">
        <v>77.489999999999995</v>
      </c>
      <c r="AR416" s="460">
        <v>100</v>
      </c>
      <c r="AS416" s="891">
        <v>45575</v>
      </c>
      <c r="AT416" s="894" t="s">
        <v>1766</v>
      </c>
      <c r="AU416" s="888" t="s">
        <v>1768</v>
      </c>
    </row>
    <row r="417" spans="1:48" ht="300" x14ac:dyDescent="0.25">
      <c r="A417" s="908">
        <v>320</v>
      </c>
      <c r="B417" s="929">
        <v>228</v>
      </c>
      <c r="C417" s="924" t="s">
        <v>2040</v>
      </c>
      <c r="D417" s="925" t="s">
        <v>2041</v>
      </c>
      <c r="E417" s="910">
        <v>2488315683</v>
      </c>
      <c r="F417" s="911">
        <v>6510700000</v>
      </c>
      <c r="G417" s="909" t="s">
        <v>1235</v>
      </c>
      <c r="H417" s="909" t="s">
        <v>1236</v>
      </c>
      <c r="I417" s="912" t="s">
        <v>2093</v>
      </c>
      <c r="J417" s="912" t="s">
        <v>2094</v>
      </c>
      <c r="K417" s="912" t="s">
        <v>1479</v>
      </c>
      <c r="L417" s="912" t="s">
        <v>2095</v>
      </c>
      <c r="M417" s="913">
        <v>42425</v>
      </c>
      <c r="N417" s="950" t="s">
        <v>2199</v>
      </c>
      <c r="O417" s="910" t="s">
        <v>8</v>
      </c>
      <c r="P417" s="914">
        <v>0.28000000000000003</v>
      </c>
      <c r="Q417" s="951">
        <f>R417/2800</f>
        <v>202.96</v>
      </c>
      <c r="R417" s="915">
        <v>568288</v>
      </c>
      <c r="S417" s="910" t="s">
        <v>2096</v>
      </c>
      <c r="T417" s="916"/>
      <c r="U417" s="917">
        <f>R417*W417%</f>
        <v>5967.0240000000003</v>
      </c>
      <c r="V417" s="917">
        <f>U417</f>
        <v>5967.0240000000003</v>
      </c>
      <c r="W417" s="917">
        <v>1.05</v>
      </c>
      <c r="X417" s="917">
        <f>V417/(P417*10000)</f>
        <v>2.1310799999999999</v>
      </c>
      <c r="Y417" s="917">
        <f t="shared" si="97"/>
        <v>497.25200000000001</v>
      </c>
      <c r="Z417" s="918"/>
      <c r="AA417" s="952">
        <v>497.25</v>
      </c>
      <c r="AB417" s="483">
        <v>497.25</v>
      </c>
      <c r="AC417" s="407"/>
      <c r="AD417" s="483"/>
      <c r="AE417" s="483"/>
      <c r="AF417" s="919"/>
      <c r="AG417" s="483"/>
      <c r="AH417" s="483"/>
      <c r="AI417" s="483"/>
      <c r="AJ417" s="920"/>
      <c r="AK417" s="919"/>
      <c r="AL417" s="921"/>
      <c r="AM417" s="459">
        <f t="shared" si="94"/>
        <v>994.5</v>
      </c>
      <c r="AN417" s="459">
        <f t="shared" si="94"/>
        <v>994.5</v>
      </c>
      <c r="AO417" s="468"/>
      <c r="AP417" s="917">
        <f t="shared" si="99"/>
        <v>16.666599631575135</v>
      </c>
      <c r="AQ417" s="915">
        <v>5898</v>
      </c>
      <c r="AR417" s="922">
        <v>98.843242460563246</v>
      </c>
      <c r="AS417" s="923" t="s">
        <v>2593</v>
      </c>
      <c r="AT417" s="953" t="s">
        <v>1828</v>
      </c>
      <c r="AU417" s="912" t="s">
        <v>1639</v>
      </c>
      <c r="AV417" s="949"/>
    </row>
    <row r="418" spans="1:48" ht="131.25" x14ac:dyDescent="0.25">
      <c r="A418" s="908">
        <v>184</v>
      </c>
      <c r="B418" s="908"/>
      <c r="C418" s="1007" t="s">
        <v>2110</v>
      </c>
      <c r="D418" s="977" t="s">
        <v>2111</v>
      </c>
      <c r="E418" s="908">
        <v>1798831775</v>
      </c>
      <c r="F418" s="979">
        <v>6510700000</v>
      </c>
      <c r="G418" s="979" t="s">
        <v>711</v>
      </c>
      <c r="H418" s="979" t="s">
        <v>712</v>
      </c>
      <c r="I418" s="980" t="s">
        <v>2112</v>
      </c>
      <c r="J418" s="1099" t="s">
        <v>2824</v>
      </c>
      <c r="K418" s="1100"/>
      <c r="L418" s="1099" t="s">
        <v>2823</v>
      </c>
      <c r="M418" s="1099" t="s">
        <v>713</v>
      </c>
      <c r="N418" s="1099"/>
      <c r="O418" s="1101" t="s">
        <v>8</v>
      </c>
      <c r="P418" s="1102">
        <v>1.26E-2</v>
      </c>
      <c r="Q418" s="1103">
        <v>724.19</v>
      </c>
      <c r="R418" s="998">
        <v>91247.94</v>
      </c>
      <c r="S418" s="998" t="s">
        <v>2113</v>
      </c>
      <c r="T418" s="999"/>
      <c r="U418" s="1000">
        <f>R418*W418%</f>
        <v>9873.0271080000002</v>
      </c>
      <c r="V418" s="1000">
        <f>U418</f>
        <v>9873.0271080000002</v>
      </c>
      <c r="W418" s="1000">
        <v>10.82</v>
      </c>
      <c r="X418" s="1000">
        <f>V418/(P418*10000)</f>
        <v>78.357358000000005</v>
      </c>
      <c r="Y418" s="1000">
        <f t="shared" si="97"/>
        <v>822.75225899999998</v>
      </c>
      <c r="Z418" s="918"/>
      <c r="AA418" s="1001"/>
      <c r="AB418" s="458"/>
      <c r="AC418" s="458"/>
      <c r="AD418" s="458"/>
      <c r="AE418" s="458"/>
      <c r="AF418" s="1001"/>
      <c r="AG418" s="458"/>
      <c r="AH418" s="458"/>
      <c r="AI418" s="458"/>
      <c r="AJ418" s="990"/>
      <c r="AK418" s="1001"/>
      <c r="AL418" s="1002"/>
      <c r="AM418" s="458">
        <f t="shared" si="94"/>
        <v>0</v>
      </c>
      <c r="AN418" s="458">
        <f t="shared" si="94"/>
        <v>0</v>
      </c>
      <c r="AO418" s="470"/>
      <c r="AP418" s="1000">
        <f t="shared" si="99"/>
        <v>0</v>
      </c>
      <c r="AQ418" s="998">
        <v>9869.5399999999991</v>
      </c>
      <c r="AR418" s="1003">
        <v>99.964680457555147</v>
      </c>
      <c r="AS418" s="1004" t="s">
        <v>2549</v>
      </c>
      <c r="AT418" s="1010" t="s">
        <v>1764</v>
      </c>
      <c r="AU418" s="1006" t="s">
        <v>1634</v>
      </c>
    </row>
    <row r="419" spans="1:48" ht="150" x14ac:dyDescent="0.25">
      <c r="A419" s="908">
        <v>366</v>
      </c>
      <c r="B419" s="908">
        <v>261</v>
      </c>
      <c r="C419" s="1107" t="s">
        <v>2105</v>
      </c>
      <c r="D419" s="1108" t="s">
        <v>2106</v>
      </c>
      <c r="E419" s="977">
        <v>2292823067</v>
      </c>
      <c r="F419" s="908">
        <v>6510700000</v>
      </c>
      <c r="G419" s="908" t="s">
        <v>1414</v>
      </c>
      <c r="H419" s="908" t="s">
        <v>1232</v>
      </c>
      <c r="I419" s="1006" t="s">
        <v>2107</v>
      </c>
      <c r="J419" s="1006" t="s">
        <v>2842</v>
      </c>
      <c r="K419" s="1006"/>
      <c r="L419" s="1006" t="s">
        <v>2841</v>
      </c>
      <c r="M419" s="1008">
        <v>42562</v>
      </c>
      <c r="N419" s="1006"/>
      <c r="O419" s="977" t="s">
        <v>8</v>
      </c>
      <c r="P419" s="983">
        <v>4.0000000000000001E-3</v>
      </c>
      <c r="Q419" s="984">
        <f>R419/40</f>
        <v>1329.6399999999999</v>
      </c>
      <c r="R419" s="998">
        <v>53185.599999999999</v>
      </c>
      <c r="S419" s="998" t="s">
        <v>3342</v>
      </c>
      <c r="T419" s="999">
        <v>5218</v>
      </c>
      <c r="U419" s="1000">
        <v>5531.08</v>
      </c>
      <c r="V419" s="1000">
        <v>5531.08</v>
      </c>
      <c r="W419" s="1000">
        <v>10.4</v>
      </c>
      <c r="X419" s="1000">
        <f>V419/(P419*10000)</f>
        <v>138.27699999999999</v>
      </c>
      <c r="Y419" s="1000">
        <f t="shared" si="97"/>
        <v>460.92333333333335</v>
      </c>
      <c r="Z419" s="918">
        <v>3000</v>
      </c>
      <c r="AA419" s="1001"/>
      <c r="AB419" s="458"/>
      <c r="AC419" s="458"/>
      <c r="AD419" s="458">
        <v>2531.0500000000002</v>
      </c>
      <c r="AE419" s="458"/>
      <c r="AF419" s="1001"/>
      <c r="AG419" s="1109"/>
      <c r="AH419" s="458"/>
      <c r="AI419" s="458"/>
      <c r="AJ419" s="990"/>
      <c r="AK419" s="1001"/>
      <c r="AL419" s="1002"/>
      <c r="AM419" s="458">
        <f t="shared" si="94"/>
        <v>5531.05</v>
      </c>
      <c r="AN419" s="458">
        <f t="shared" si="94"/>
        <v>2531.0500000000002</v>
      </c>
      <c r="AO419" s="470"/>
      <c r="AP419" s="1000">
        <f t="shared" si="99"/>
        <v>99.999457610448587</v>
      </c>
      <c r="AQ419" s="998">
        <v>7285.25</v>
      </c>
      <c r="AR419" s="1003">
        <v>101.29567812522247</v>
      </c>
      <c r="AS419" s="1004">
        <v>44314</v>
      </c>
      <c r="AT419" s="996" t="s">
        <v>1739</v>
      </c>
      <c r="AU419" s="1006" t="s">
        <v>1634</v>
      </c>
    </row>
    <row r="420" spans="1:48" ht="42" x14ac:dyDescent="0.35">
      <c r="A420" s="1365" t="s">
        <v>3527</v>
      </c>
      <c r="B420" s="1365"/>
      <c r="C420" s="1365"/>
    </row>
    <row r="421" spans="1:48" ht="21" x14ac:dyDescent="0.35">
      <c r="A421" s="1366"/>
      <c r="B421" s="1366"/>
      <c r="C421" s="1366"/>
      <c r="D421" s="1366"/>
      <c r="E421" s="1366"/>
      <c r="F421" s="1366"/>
      <c r="G421" s="1366"/>
      <c r="H421" s="1366"/>
      <c r="I421" s="1366"/>
    </row>
    <row r="422" spans="1:48" ht="262.5" x14ac:dyDescent="0.3">
      <c r="A422" s="1363" t="s">
        <v>3572</v>
      </c>
      <c r="B422" s="1363"/>
      <c r="C422" s="1363"/>
      <c r="D422" s="1363"/>
    </row>
    <row r="423" spans="1:48" ht="19.5" x14ac:dyDescent="0.35">
      <c r="A423" s="1362" t="s">
        <v>3571</v>
      </c>
      <c r="B423" s="1362"/>
      <c r="C423" s="1362"/>
      <c r="D423" s="1054"/>
    </row>
    <row r="425" spans="1:48" ht="18.75" x14ac:dyDescent="0.3">
      <c r="A425" s="1363"/>
      <c r="B425" s="1363"/>
      <c r="C425" s="1363"/>
    </row>
    <row r="427" spans="1:48" ht="21" x14ac:dyDescent="0.35">
      <c r="A427" s="1074"/>
      <c r="B427" s="1055"/>
      <c r="C427" s="1055"/>
      <c r="D427" s="1054"/>
    </row>
    <row r="429" spans="1:48" ht="21" x14ac:dyDescent="0.35">
      <c r="A429" s="1364"/>
      <c r="B429" s="1364"/>
      <c r="C429" s="1364"/>
      <c r="D429" s="1364"/>
    </row>
    <row r="430" spans="1:48" ht="21" x14ac:dyDescent="0.35">
      <c r="A430" s="1364"/>
      <c r="B430" s="1364"/>
      <c r="C430" s="1364"/>
      <c r="D430" s="136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оренда</vt:lpstr>
      <vt:lpstr> Борги на 20.05.20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vd-zem4</dc:creator>
  <cp:lastModifiedBy>vd-zem4</cp:lastModifiedBy>
  <cp:lastPrinted>2020-11-04T14:15:32Z</cp:lastPrinted>
  <dcterms:created xsi:type="dcterms:W3CDTF">2019-02-06T05:54:54Z</dcterms:created>
  <dcterms:modified xsi:type="dcterms:W3CDTF">2020-11-09T08:27:46Z</dcterms:modified>
</cp:coreProperties>
</file>