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Кардіоцентр\"/>
    </mc:Choice>
  </mc:AlternateContent>
  <bookViews>
    <workbookView xWindow="32760" yWindow="32760" windowWidth="19410" windowHeight="8925" tabRatio="592"/>
  </bookViews>
  <sheets>
    <sheet name="Осн. фін. пок." sheetId="14" r:id="rId1"/>
    <sheet name="рік" sheetId="15" r:id="rId2"/>
    <sheet name="Лист1" sheetId="1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пок.'!$A$1:$H$187</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F44" i="14" l="1"/>
  <c r="F36" i="14"/>
  <c r="D36" i="14" s="1"/>
  <c r="D105" i="14"/>
  <c r="D102" i="14"/>
  <c r="D101" i="14" s="1"/>
  <c r="F121" i="14"/>
  <c r="D121" i="14"/>
  <c r="D120" i="14"/>
  <c r="D114" i="14"/>
  <c r="D113" i="14"/>
  <c r="D106" i="14"/>
  <c r="D104" i="14" s="1"/>
  <c r="D44" i="14"/>
  <c r="F55" i="14"/>
  <c r="F54" i="14" s="1"/>
  <c r="F47" i="14"/>
  <c r="H44" i="14"/>
  <c r="D91" i="14"/>
  <c r="D75" i="14"/>
  <c r="D74" i="14"/>
  <c r="D68" i="14"/>
  <c r="D66" i="14"/>
  <c r="D64" i="14"/>
  <c r="D63" i="14"/>
  <c r="D62" i="14"/>
  <c r="D58" i="14"/>
  <c r="D57" i="14"/>
  <c r="D56" i="14"/>
  <c r="D55" i="14"/>
  <c r="D53" i="14"/>
  <c r="D52" i="14"/>
  <c r="D51" i="14" s="1"/>
  <c r="D50" i="14" s="1"/>
  <c r="D93" i="14" s="1"/>
  <c r="D49" i="14"/>
  <c r="D48" i="14"/>
  <c r="D47" i="14"/>
  <c r="D46" i="14"/>
  <c r="D45" i="14" s="1"/>
  <c r="D40" i="14" s="1"/>
  <c r="D35" i="14"/>
  <c r="D34" i="14"/>
  <c r="D33" i="14" s="1"/>
  <c r="D32" i="14" s="1"/>
  <c r="D92" i="14" s="1"/>
  <c r="D170" i="14"/>
  <c r="D174" i="14"/>
  <c r="D181" i="14" s="1"/>
  <c r="D173" i="14"/>
  <c r="D172" i="14"/>
  <c r="D179" i="14" s="1"/>
  <c r="D171" i="14"/>
  <c r="D169" i="14"/>
  <c r="D168" i="14" s="1"/>
  <c r="D175" i="14" s="1"/>
  <c r="D167" i="14"/>
  <c r="D166" i="14"/>
  <c r="D165" i="14"/>
  <c r="D164" i="14"/>
  <c r="D163" i="14"/>
  <c r="D162" i="14"/>
  <c r="D161" i="14" s="1"/>
  <c r="C177" i="14"/>
  <c r="C178" i="14"/>
  <c r="C179" i="14"/>
  <c r="C180" i="14"/>
  <c r="C181" i="14"/>
  <c r="C176" i="14"/>
  <c r="D65" i="14"/>
  <c r="D59" i="14"/>
  <c r="D177" i="14"/>
  <c r="D178" i="14"/>
  <c r="D180" i="14"/>
  <c r="D176" i="14"/>
  <c r="F137" i="14"/>
  <c r="G55" i="14"/>
  <c r="E181" i="14"/>
  <c r="E180" i="14"/>
  <c r="G180" i="14"/>
  <c r="E179" i="14"/>
  <c r="E178" i="14"/>
  <c r="G178" i="14"/>
  <c r="E177" i="14"/>
  <c r="E176" i="14"/>
  <c r="E168" i="14"/>
  <c r="E175" i="14" s="1"/>
  <c r="H175" i="14" s="1"/>
  <c r="E161" i="14"/>
  <c r="E154" i="14"/>
  <c r="G154" i="14" s="1"/>
  <c r="E81" i="14"/>
  <c r="E78" i="14"/>
  <c r="E76" i="14" s="1"/>
  <c r="E61" i="14"/>
  <c r="E54" i="14"/>
  <c r="E51" i="14" s="1"/>
  <c r="G77" i="14"/>
  <c r="E45" i="14"/>
  <c r="E40" i="14" s="1"/>
  <c r="E33" i="14"/>
  <c r="E32" i="14" s="1"/>
  <c r="E92" i="14" s="1"/>
  <c r="G39" i="14"/>
  <c r="C168" i="14"/>
  <c r="C175" i="14" s="1"/>
  <c r="C161" i="14"/>
  <c r="C154" i="14"/>
  <c r="C140" i="14"/>
  <c r="C137" i="14"/>
  <c r="C104" i="14"/>
  <c r="C101" i="14"/>
  <c r="C109" i="14" s="1"/>
  <c r="C61" i="14"/>
  <c r="C76" i="14"/>
  <c r="C54" i="14"/>
  <c r="C45" i="14"/>
  <c r="C40" i="14" s="1"/>
  <c r="C32" i="14" s="1"/>
  <c r="C92" i="14" s="1"/>
  <c r="C33" i="14"/>
  <c r="H162" i="14"/>
  <c r="D154" i="14"/>
  <c r="F154" i="14"/>
  <c r="F181" i="14"/>
  <c r="G181" i="14" s="1"/>
  <c r="F180" i="14"/>
  <c r="F179" i="14"/>
  <c r="H179" i="14" s="1"/>
  <c r="F178" i="14"/>
  <c r="F177" i="14"/>
  <c r="G177" i="14" s="1"/>
  <c r="F176" i="14"/>
  <c r="H176" i="14" s="1"/>
  <c r="F168" i="14"/>
  <c r="F175" i="14"/>
  <c r="G175" i="14" s="1"/>
  <c r="D97" i="14"/>
  <c r="F61" i="14"/>
  <c r="H61" i="14" s="1"/>
  <c r="D67" i="14"/>
  <c r="D69" i="14"/>
  <c r="D70" i="14"/>
  <c r="D71" i="14"/>
  <c r="D72" i="14"/>
  <c r="D73" i="14"/>
  <c r="D42" i="14"/>
  <c r="D43" i="14"/>
  <c r="D41" i="14"/>
  <c r="D37" i="14"/>
  <c r="D38" i="14"/>
  <c r="D39" i="14"/>
  <c r="G81" i="14"/>
  <c r="F140" i="14"/>
  <c r="F143" i="14" s="1"/>
  <c r="D143" i="14" s="1"/>
  <c r="D127" i="14" s="1"/>
  <c r="F128" i="14"/>
  <c r="C128" i="14"/>
  <c r="H55" i="14"/>
  <c r="G70" i="14"/>
  <c r="G71" i="14"/>
  <c r="F33" i="14"/>
  <c r="H33" i="14"/>
  <c r="H36" i="14"/>
  <c r="G37" i="14"/>
  <c r="G38" i="14"/>
  <c r="G41" i="14"/>
  <c r="G42" i="14"/>
  <c r="G43" i="14"/>
  <c r="F45" i="14"/>
  <c r="F40" i="14" s="1"/>
  <c r="G46" i="14"/>
  <c r="H46" i="14"/>
  <c r="G47" i="14"/>
  <c r="H47" i="14"/>
  <c r="G48" i="14"/>
  <c r="H48" i="14"/>
  <c r="G49" i="14"/>
  <c r="H49" i="14"/>
  <c r="G53" i="14"/>
  <c r="H53" i="14"/>
  <c r="G56" i="14"/>
  <c r="H56" i="14"/>
  <c r="G57" i="14"/>
  <c r="H57" i="14"/>
  <c r="G58" i="14"/>
  <c r="H58" i="14"/>
  <c r="G59" i="14"/>
  <c r="G60" i="14"/>
  <c r="G62" i="14"/>
  <c r="H62" i="14"/>
  <c r="G63" i="14"/>
  <c r="G64" i="14"/>
  <c r="H64" i="14"/>
  <c r="G65" i="14"/>
  <c r="G66" i="14"/>
  <c r="H66" i="14"/>
  <c r="G67" i="14"/>
  <c r="G68" i="14"/>
  <c r="H68" i="14"/>
  <c r="G69" i="14"/>
  <c r="G72" i="14"/>
  <c r="G73" i="14"/>
  <c r="G74" i="14"/>
  <c r="H74" i="14"/>
  <c r="G75" i="14"/>
  <c r="H75" i="14"/>
  <c r="D76" i="14"/>
  <c r="F76" i="14"/>
  <c r="G76" i="14" s="1"/>
  <c r="G78" i="14"/>
  <c r="G79" i="14"/>
  <c r="G80" i="14"/>
  <c r="G82" i="14"/>
  <c r="G83" i="14"/>
  <c r="G84" i="14"/>
  <c r="G85" i="14"/>
  <c r="G86" i="14"/>
  <c r="G87" i="14"/>
  <c r="G88" i="14"/>
  <c r="G89" i="14"/>
  <c r="G90" i="14"/>
  <c r="G91" i="14"/>
  <c r="C96" i="14"/>
  <c r="E96" i="14"/>
  <c r="G96" i="14" s="1"/>
  <c r="F96" i="14"/>
  <c r="D96" i="14"/>
  <c r="D109" i="14" s="1"/>
  <c r="G97" i="14"/>
  <c r="G98" i="14"/>
  <c r="G99" i="14"/>
  <c r="G100" i="14"/>
  <c r="E101" i="14"/>
  <c r="F101" i="14"/>
  <c r="G101" i="14" s="1"/>
  <c r="G102" i="14"/>
  <c r="H102" i="14"/>
  <c r="G103" i="14"/>
  <c r="E104" i="14"/>
  <c r="E109" i="14"/>
  <c r="F104" i="14"/>
  <c r="G104" i="14"/>
  <c r="G105" i="14"/>
  <c r="H105" i="14"/>
  <c r="G106" i="14"/>
  <c r="H106" i="14"/>
  <c r="G107" i="14"/>
  <c r="G108" i="14"/>
  <c r="C111" i="14"/>
  <c r="D111" i="14"/>
  <c r="E111" i="14"/>
  <c r="H111" i="14"/>
  <c r="F111" i="14"/>
  <c r="G111" i="14"/>
  <c r="G112" i="14"/>
  <c r="G113" i="14"/>
  <c r="H113" i="14"/>
  <c r="G114" i="14"/>
  <c r="H114" i="14"/>
  <c r="G115" i="14"/>
  <c r="G116" i="14"/>
  <c r="G117" i="14"/>
  <c r="C118" i="14"/>
  <c r="D118" i="14"/>
  <c r="E118" i="14"/>
  <c r="F118" i="14"/>
  <c r="G118" i="14" s="1"/>
  <c r="G119" i="14"/>
  <c r="G120" i="14"/>
  <c r="G121" i="14"/>
  <c r="G122" i="14"/>
  <c r="D130" i="14"/>
  <c r="D134" i="14"/>
  <c r="D132" i="14"/>
  <c r="D131" i="14" s="1"/>
  <c r="D133" i="14"/>
  <c r="D128" i="14"/>
  <c r="D135" i="14"/>
  <c r="D136" i="14"/>
  <c r="D138" i="14"/>
  <c r="D140" i="14"/>
  <c r="D139" i="14"/>
  <c r="G145" i="14"/>
  <c r="G146" i="14"/>
  <c r="G147" i="14"/>
  <c r="G148" i="14"/>
  <c r="G149" i="14"/>
  <c r="G150" i="14"/>
  <c r="G151" i="14"/>
  <c r="G152" i="14"/>
  <c r="G155" i="14"/>
  <c r="H155" i="14"/>
  <c r="G156" i="14"/>
  <c r="H156" i="14"/>
  <c r="G157" i="14"/>
  <c r="H157" i="14"/>
  <c r="G158" i="14"/>
  <c r="H158" i="14"/>
  <c r="G159" i="14"/>
  <c r="H159" i="14"/>
  <c r="G160" i="14"/>
  <c r="H160" i="14"/>
  <c r="G163" i="14"/>
  <c r="H163" i="14"/>
  <c r="G164" i="14"/>
  <c r="H164" i="14"/>
  <c r="G165" i="14"/>
  <c r="H165" i="14"/>
  <c r="G166" i="14"/>
  <c r="H166" i="14"/>
  <c r="G167" i="14"/>
  <c r="H167" i="14"/>
  <c r="G169" i="14"/>
  <c r="H169" i="14"/>
  <c r="G170" i="14"/>
  <c r="H170" i="14"/>
  <c r="G171" i="14"/>
  <c r="H171" i="14"/>
  <c r="G172" i="14"/>
  <c r="H172" i="14"/>
  <c r="G173" i="14"/>
  <c r="H173" i="14"/>
  <c r="G174" i="14"/>
  <c r="H174" i="14"/>
  <c r="H177" i="14"/>
  <c r="G182" i="14"/>
  <c r="H104" i="14"/>
  <c r="H35" i="14"/>
  <c r="G35" i="14"/>
  <c r="H34" i="14"/>
  <c r="G34" i="14"/>
  <c r="F161" i="14"/>
  <c r="G161" i="14" s="1"/>
  <c r="G162" i="14"/>
  <c r="H52" i="14"/>
  <c r="G52" i="14"/>
  <c r="D61" i="14"/>
  <c r="H154" i="14"/>
  <c r="C127" i="14"/>
  <c r="H178" i="14"/>
  <c r="C51" i="14"/>
  <c r="C50" i="14" s="1"/>
  <c r="C93" i="14" s="1"/>
  <c r="H181" i="14"/>
  <c r="G179" i="14"/>
  <c r="H180" i="14"/>
  <c r="G44" i="14"/>
  <c r="G45" i="14"/>
  <c r="H161" i="14"/>
  <c r="H45" i="14"/>
  <c r="D137" i="14"/>
  <c r="F109" i="14"/>
  <c r="H109" i="14" s="1"/>
  <c r="D54" i="14"/>
  <c r="D124" i="14"/>
  <c r="C94" i="14" l="1"/>
  <c r="C124" i="14"/>
  <c r="C125" i="14"/>
  <c r="C126" i="14"/>
  <c r="E124" i="14"/>
  <c r="D125" i="14"/>
  <c r="D94" i="14"/>
  <c r="F51" i="14"/>
  <c r="G54" i="14"/>
  <c r="H54" i="14"/>
  <c r="D126" i="14"/>
  <c r="G40" i="14"/>
  <c r="H40" i="14"/>
  <c r="F127" i="14"/>
  <c r="E93" i="14"/>
  <c r="E94" i="14" s="1"/>
  <c r="E50" i="14"/>
  <c r="F32" i="14"/>
  <c r="G109" i="14"/>
  <c r="G61" i="14"/>
  <c r="G33" i="14"/>
  <c r="H168" i="14"/>
  <c r="G168" i="14"/>
  <c r="H101" i="14"/>
  <c r="G176" i="14"/>
  <c r="G36" i="14"/>
  <c r="H32" i="14" l="1"/>
  <c r="F92" i="14"/>
  <c r="G32" i="14"/>
  <c r="F50" i="14"/>
  <c r="H51" i="14"/>
  <c r="G51" i="14"/>
  <c r="H50" i="14" l="1"/>
  <c r="G50" i="14"/>
  <c r="F93" i="14"/>
  <c r="G92" i="14"/>
  <c r="F126" i="14"/>
  <c r="F125" i="14"/>
  <c r="F94" i="14"/>
  <c r="F124" i="14"/>
  <c r="H92" i="14"/>
  <c r="G124" i="14" l="1"/>
  <c r="H124" i="14"/>
  <c r="G94" i="14"/>
  <c r="H94" i="14"/>
  <c r="H93" i="14"/>
  <c r="G93" i="14"/>
</calcChain>
</file>

<file path=xl/sharedStrings.xml><?xml version="1.0" encoding="utf-8"?>
<sst xmlns="http://schemas.openxmlformats.org/spreadsheetml/2006/main" count="362" uniqueCount="234">
  <si>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</si>
  <si>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</si>
  <si>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</si>
  <si>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</si>
  <si>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</si>
  <si>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</si>
  <si>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</si>
  <si>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</si>
  <si>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</si>
  <si>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</si>
  <si>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</si>
  <si>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</si>
  <si>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</si>
  <si>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</si>
  <si>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</si>
  <si>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</si>
  <si>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</si>
  <si>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</si>
  <si>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</si>
  <si>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</si>
  <si>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</si>
  <si>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</si>
  <si>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</si>
  <si>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</si>
  <si>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</si>
  <si>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</si>
  <si>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</si>
  <si>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</si>
  <si>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</si>
  <si>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</si>
  <si>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</si>
  <si>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</si>
  <si>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</si>
  <si>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</si>
  <si>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</si>
  <si>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</si>
  <si>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</si>
  <si>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</si>
  <si>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</si>
  <si>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</si>
  <si>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</si>
  <si>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</si>
  <si>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</si>
  <si>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</si>
  <si>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</si>
  <si>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</si>
  <si>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</si>
  <si>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</si>
  <si>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</si>
  <si>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</si>
  <si>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</si>
  <si>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</si>
  <si>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</si>
  <si>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</si>
  <si>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</si>
  <si>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</si>
  <si>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</si>
  <si>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</si>
  <si>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</si>
  <si>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</si>
  <si>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</si>
  <si>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</si>
  <si>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</si>
  <si>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</si>
  <si>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</si>
  <si>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</si>
  <si>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</si>
  <si>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</si>
  <si>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</si>
  <si>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</si>
  <si>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</si>
  <si>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</si>
  <si>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</si>
  <si>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</si>
  <si>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</si>
  <si>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</si>
  <si>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</si>
  <si>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</si>
  <si>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</si>
  <si>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</si>
  <si>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</si>
  <si>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</si>
  <si>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</si>
  <si>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</si>
  <si>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</si>
  <si>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</si>
  <si>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</si>
  <si>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</si>
  <si>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</si>
  <si>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</si>
  <si>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</si>
  <si>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</si>
  <si>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</si>
  <si>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</si>
  <si>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</si>
  <si>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</si>
  <si>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</si>
  <si>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</si>
  <si>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</si>
  <si>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</si>
  <si>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</si>
  <si>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</si>
  <si>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</si>
  <si>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</si>
  <si>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</si>
  <si>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</si>
  <si>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</si>
  <si>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</si>
  <si>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</si>
  <si>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</si>
  <si>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</si>
  <si>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</si>
  <si>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</si>
  <si>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</si>
  <si>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</si>
  <si>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</si>
  <si>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</si>
  <si>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</si>
  <si>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</si>
  <si>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</si>
  <si>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</si>
  <si>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</si>
  <si>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</si>
  <si>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</si>
  <si>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</si>
  <si>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</si>
  <si>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</si>
  <si>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</si>
  <si>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</si>
  <si>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</si>
  <si>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</si>
  <si>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</si>
  <si>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</si>
  <si>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</si>
  <si>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</si>
  <si>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</si>
  <si>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</si>
  <si>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</si>
  <si>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</si>
  <si>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</si>
  <si>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</si>
  <si>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</si>
  <si>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</si>
  <si>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</si>
  <si>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</si>
  <si>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</si>
  <si>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</si>
  <si>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</si>
  <si>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</si>
  <si>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</si>
  <si>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</si>
  <si>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</si>
  <si>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</si>
  <si>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</si>
  <si>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</si>
  <si>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</si>
  <si>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</si>
  <si>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</si>
  <si>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</si>
  <si>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</si>
  <si>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</si>
  <si>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</si>
  <si>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</si>
  <si>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</si>
  <si>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</si>
  <si>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</si>
  <si>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</si>
  <si>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</si>
  <si>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</si>
  <si>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</si>
  <si>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</si>
  <si>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</si>
  <si>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</si>
  <si>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</si>
  <si>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</si>
  <si>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</si>
  <si>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</si>
  <si>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</si>
  <si>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</si>
  <si>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</si>
  <si>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</si>
  <si>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</si>
  <si>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</si>
  <si>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</si>
  <si>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</si>
  <si>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</si>
  <si>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</si>
  <si>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</si>
  <si>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</si>
  <si>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</si>
  <si>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</si>
  <si>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</si>
  <si>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</si>
  <si>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</si>
  <si>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</si>
  <si>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</si>
  <si>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</si>
  <si>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</si>
  <si>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</si>
  <si>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</si>
  <si>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</si>
  <si>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</si>
  <si>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</si>
  <si>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</si>
  <si>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</si>
  <si>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r>
      <t xml:space="preserve">інші доходи </t>
    </r>
    <r>
      <rPr>
        <b/>
        <i/>
        <sz val="14"/>
        <rFont val="Times New Roman"/>
        <family val="1"/>
        <charset val="204"/>
      </rPr>
      <t>(розшифрувати)</t>
    </r>
  </si>
  <si>
    <t>централізоване постачання</t>
  </si>
  <si>
    <t>1045/3</t>
  </si>
  <si>
    <t>1045/4</t>
  </si>
  <si>
    <t>інші доходи операційної діяльності</t>
  </si>
  <si>
    <t xml:space="preserve">від безоплатно отриманих активів </t>
  </si>
  <si>
    <t>Інші витрати (спмсання залишкової вартості)</t>
  </si>
  <si>
    <t>03568362</t>
  </si>
  <si>
    <t>86.10</t>
  </si>
  <si>
    <t>Комунальне підприємство</t>
  </si>
  <si>
    <t>Міністерство охорони здоров`я України</t>
  </si>
  <si>
    <t>Охорона здоров`я</t>
  </si>
  <si>
    <t>Діяльність лікарняних закладів</t>
  </si>
  <si>
    <t>Комунальна</t>
  </si>
  <si>
    <t>-</t>
  </si>
  <si>
    <t>м.Суми</t>
  </si>
  <si>
    <t>курсова різниця, відсотки по депозиту</t>
  </si>
  <si>
    <r>
      <t xml:space="preserve">Інші поточні витрати </t>
    </r>
    <r>
      <rPr>
        <i/>
        <sz val="14"/>
        <rFont val="Times New Roman"/>
        <family val="1"/>
        <charset val="204"/>
      </rPr>
      <t>(податок на землюта інше)</t>
    </r>
  </si>
  <si>
    <t>х</t>
  </si>
  <si>
    <t>(0542) 701-619</t>
  </si>
  <si>
    <t>UA59080270010036634</t>
  </si>
  <si>
    <r>
      <t xml:space="preserve">Середня кількість працівників в еквіваленті повної зайнятості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</si>
  <si>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Русанов О.В.</t>
  </si>
  <si>
    <t>Комунальне некомерційне підприємство Сумської обласної ради "Сумський обласний клінічний кардіологічний центр"</t>
  </si>
  <si>
    <t>за 4 квартал  2024 року</t>
  </si>
  <si>
    <t>м. Суми, вул.Сумської Тероборони, 30</t>
  </si>
  <si>
    <t>Звітний період  (4 квартал 2024 року)</t>
  </si>
  <si>
    <t>Директор</t>
  </si>
  <si>
    <t>Олександр РУСАНОВ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</si>
</sst>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81" formatCode="_-* #,##0.00_₴_-;\-* #,##0.00_₴_-;_-* &quot;-&quot;??_₴_-;_-@_-"/>
    <numFmt numFmtId="189" formatCode="_-* #,##0.00\ _г_р_н_._-;\-* #,##0.00\ _г_р_н_._-;_-* &quot;-&quot;??\ _г_р_н_._-;_-@_-"/>
    <numFmt numFmtId="191" formatCode="#,##0&quot;р.&quot;;[Red]\-#,##0&quot;р.&quot;"/>
    <numFmt numFmtId="192" formatCode="#,##0.00&quot;р.&quot;;\-#,##0.00&quot;р.&quot;"/>
    <numFmt numFmtId="197" formatCode="_-* #,##0.00_р_._-;\-* #,##0.00_р_._-;_-* &quot;-&quot;??_р_._-;_-@_-"/>
    <numFmt numFmtId="198" formatCode="0.0"/>
    <numFmt numFmtId="199" formatCode="#,##0.0"/>
    <numFmt numFmtId="204" formatCode="###\ ##0.000"/>
    <numFmt numFmtId="205" formatCode="_(&quot;$&quot;* #,##0.00_);_(&quot;$&quot;* \(#,##0.00\);_(&quot;$&quot;* &quot;-&quot;??_);_(@_)"/>
    <numFmt numFmtId="206" formatCode="_(* #,##0_);_(* \(#,##0\);_(* &quot;-&quot;_);_(@_)"/>
    <numFmt numFmtId="207" formatCode="_(* #,##0.00_);_(* \(#,##0.00\);_(* &quot;-&quot;??_);_(@_)"/>
    <numFmt numFmtId="208" formatCode="#,##0.0_ ;[Red]\-#,##0.0\ "/>
    <numFmt numFmtId="209" formatCode="0.0;\(0.0\);\ ;\-"/>
    <numFmt numFmtId="215" formatCode="_(* #,##0.0_);_(* \(#,##0.0\);_(* &quot;-&quot;_);_(@_)"/>
  </numFmts>
  <fonts count="6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2"/>
      <name val="Times New Roman"/>
      <family val="1"/>
      <charset val="204"/>
    </font>
    <font>
      <sz val="11"/>
      <color theme="1"/>
      <name val="Calibri"/>
      <family val="2"/>
      <charset val="204"/>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8" tint="0.7999816888943144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89"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4"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5"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7"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7" fillId="0" borderId="0"/>
    <xf numFmtId="0" fontId="67" fillId="0" borderId="0"/>
    <xf numFmtId="0" fontId="67" fillId="0" borderId="0"/>
    <xf numFmtId="0" fontId="67" fillId="0" borderId="0"/>
    <xf numFmtId="0" fontId="1"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1" fillId="0" borderId="0"/>
    <xf numFmtId="0" fontId="67"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6" fontId="62" fillId="0" borderId="0" applyFont="0" applyFill="0" applyBorder="0" applyAlignment="0" applyProtection="0"/>
    <xf numFmtId="207" fontId="62"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92"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208" fontId="2" fillId="0" borderId="0" applyFont="0" applyFill="0" applyBorder="0" applyAlignment="0" applyProtection="0"/>
    <xf numFmtId="208" fontId="2" fillId="0" borderId="0" applyFont="0" applyFill="0" applyBorder="0" applyAlignment="0" applyProtection="0"/>
    <xf numFmtId="197" fontId="2"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91" fontId="2" fillId="0" borderId="0" applyFont="0" applyFill="0" applyBorder="0" applyAlignment="0" applyProtection="0"/>
    <xf numFmtId="189"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9" fontId="64" fillId="22" borderId="12" applyFill="0" applyBorder="0">
      <alignment horizontal="center" vertical="center" wrapText="1"/>
      <protection locked="0"/>
    </xf>
    <xf numFmtId="204" fontId="65" fillId="0" borderId="0">
      <alignment wrapText="1"/>
    </xf>
    <xf numFmtId="204" fontId="32" fillId="0" borderId="0">
      <alignment wrapText="1"/>
    </xf>
  </cellStyleXfs>
  <cellXfs count="188">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199" fontId="5" fillId="0" borderId="3" xfId="0" applyNumberFormat="1" applyFont="1" applyFill="1" applyBorder="1" applyAlignment="1">
      <alignment horizontal="center" vertical="center" wrapText="1"/>
    </xf>
    <xf numFmtId="0" fontId="0" fillId="0" borderId="0" xfId="0" applyFill="1"/>
    <xf numFmtId="206" fontId="4" fillId="0" borderId="3" xfId="0" applyNumberFormat="1" applyFont="1" applyFill="1" applyBorder="1" applyAlignment="1">
      <alignment horizontal="center" vertical="center" wrapText="1"/>
    </xf>
    <xf numFmtId="215" fontId="5" fillId="0" borderId="3" xfId="0" applyNumberFormat="1" applyFont="1" applyFill="1" applyBorder="1" applyAlignment="1">
      <alignment horizontal="center" vertical="center" wrapText="1"/>
    </xf>
    <xf numFmtId="0" fontId="4" fillId="0" borderId="16" xfId="0" applyFont="1" applyFill="1" applyBorder="1" applyAlignment="1" applyProtection="1">
      <alignment horizontal="left" vertical="center" wrapText="1"/>
      <protection locked="0"/>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6"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206" fontId="5" fillId="0" borderId="0" xfId="0" applyNumberFormat="1" applyFont="1" applyFill="1" applyBorder="1" applyAlignment="1">
      <alignment horizontal="center" vertical="center" wrapText="1"/>
    </xf>
    <xf numFmtId="206" fontId="7" fillId="0" borderId="0" xfId="0" applyNumberFormat="1" applyFont="1" applyFill="1" applyBorder="1" applyAlignment="1">
      <alignment horizontal="center" vertical="center" wrapText="1"/>
    </xf>
    <xf numFmtId="199" fontId="7" fillId="0" borderId="0" xfId="0" applyNumberFormat="1" applyFont="1" applyFill="1" applyBorder="1" applyAlignment="1">
      <alignment horizontal="center" vertical="center" wrapText="1"/>
    </xf>
    <xf numFmtId="199" fontId="5" fillId="0" borderId="16" xfId="0" applyNumberFormat="1" applyFont="1" applyFill="1" applyBorder="1" applyAlignment="1">
      <alignment horizontal="right" vertical="center" wrapText="1"/>
    </xf>
    <xf numFmtId="199" fontId="4" fillId="0" borderId="16"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49" fontId="5" fillId="0" borderId="3" xfId="182" applyNumberFormat="1" applyFont="1" applyFill="1" applyBorder="1" applyAlignment="1">
      <alignment vertical="center" wrapText="1"/>
      <protection locked="0"/>
    </xf>
    <xf numFmtId="0" fontId="4" fillId="0" borderId="3" xfId="0" applyFont="1" applyFill="1" applyBorder="1" applyAlignment="1">
      <alignment vertical="center" wrapText="1"/>
    </xf>
    <xf numFmtId="0" fontId="0" fillId="0" borderId="0" xfId="0" applyAlignment="1">
      <alignment vertical="top" wrapText="1"/>
    </xf>
    <xf numFmtId="198" fontId="5" fillId="0" borderId="16" xfId="0" applyNumberFormat="1" applyFont="1" applyFill="1" applyBorder="1" applyAlignment="1">
      <alignment horizontal="center" vertical="center" wrapText="1"/>
    </xf>
    <xf numFmtId="198" fontId="5" fillId="0" borderId="16" xfId="0" applyNumberFormat="1" applyFont="1" applyFill="1" applyBorder="1" applyAlignment="1">
      <alignment horizontal="right" vertical="center" wrapText="1"/>
    </xf>
    <xf numFmtId="198" fontId="4" fillId="0" borderId="16" xfId="0" applyNumberFormat="1" applyFont="1" applyFill="1" applyBorder="1" applyAlignment="1">
      <alignment horizontal="right" vertical="center" wrapText="1"/>
    </xf>
    <xf numFmtId="198" fontId="4" fillId="0" borderId="3" xfId="0" applyNumberFormat="1" applyFont="1" applyFill="1" applyBorder="1" applyAlignment="1">
      <alignment horizontal="center" vertical="center" wrapText="1"/>
    </xf>
    <xf numFmtId="0" fontId="4" fillId="29" borderId="3" xfId="0" applyFont="1" applyFill="1" applyBorder="1" applyAlignment="1" applyProtection="1">
      <alignment vertical="center" wrapText="1"/>
      <protection locked="0"/>
    </xf>
    <xf numFmtId="0" fontId="5" fillId="29" borderId="3" xfId="0" applyFont="1" applyFill="1" applyBorder="1" applyAlignment="1">
      <alignment horizontal="center" vertical="center"/>
    </xf>
    <xf numFmtId="198" fontId="5" fillId="29" borderId="16" xfId="0" applyNumberFormat="1" applyFont="1" applyFill="1" applyBorder="1" applyAlignment="1">
      <alignment horizontal="center" vertical="center" wrapText="1"/>
    </xf>
    <xf numFmtId="0" fontId="4" fillId="29" borderId="0" xfId="0" applyFont="1" applyFill="1" applyBorder="1" applyAlignment="1">
      <alignment vertical="center"/>
    </xf>
    <xf numFmtId="0" fontId="4" fillId="29" borderId="3" xfId="182" applyFont="1" applyFill="1" applyBorder="1" applyAlignment="1">
      <alignment vertical="center" wrapText="1"/>
      <protection locked="0"/>
    </xf>
    <xf numFmtId="198" fontId="4" fillId="29" borderId="3" xfId="0" applyNumberFormat="1" applyFont="1" applyFill="1" applyBorder="1" applyAlignment="1">
      <alignment horizontal="center" vertical="center" wrapText="1"/>
    </xf>
    <xf numFmtId="198" fontId="4" fillId="29" borderId="16" xfId="0" applyNumberFormat="1" applyFont="1" applyFill="1" applyBorder="1" applyAlignment="1">
      <alignment horizontal="right" vertical="center" wrapText="1"/>
    </xf>
    <xf numFmtId="0" fontId="4" fillId="0" borderId="3" xfId="0" applyFont="1" applyFill="1" applyBorder="1" applyAlignment="1">
      <alignment horizontal="center" vertical="center"/>
    </xf>
    <xf numFmtId="198" fontId="4" fillId="0" borderId="16" xfId="0" applyNumberFormat="1" applyFont="1" applyFill="1" applyBorder="1" applyAlignment="1">
      <alignment horizontal="center" vertical="center" wrapText="1"/>
    </xf>
    <xf numFmtId="0" fontId="4" fillId="29" borderId="3" xfId="0" applyFont="1" applyFill="1" applyBorder="1" applyAlignment="1">
      <alignment horizontal="center" vertical="center"/>
    </xf>
    <xf numFmtId="198" fontId="4" fillId="29" borderId="16" xfId="0" applyNumberFormat="1" applyFont="1" applyFill="1" applyBorder="1" applyAlignment="1">
      <alignment horizontal="center" vertical="center" wrapText="1"/>
    </xf>
    <xf numFmtId="198" fontId="4" fillId="30" borderId="16" xfId="0" applyNumberFormat="1" applyFont="1" applyFill="1" applyBorder="1" applyAlignment="1">
      <alignment horizontal="center" vertical="center" wrapText="1"/>
    </xf>
    <xf numFmtId="198" fontId="4" fillId="30" borderId="16" xfId="0" applyNumberFormat="1" applyFont="1" applyFill="1" applyBorder="1" applyAlignment="1">
      <alignment horizontal="right" vertical="center" wrapText="1"/>
    </xf>
    <xf numFmtId="0" fontId="4" fillId="30" borderId="0" xfId="0" applyFont="1" applyFill="1" applyBorder="1" applyAlignment="1">
      <alignment vertical="center"/>
    </xf>
    <xf numFmtId="0" fontId="4" fillId="31" borderId="0" xfId="0" applyFont="1" applyFill="1" applyBorder="1" applyAlignment="1">
      <alignment vertical="center"/>
    </xf>
    <xf numFmtId="49" fontId="4" fillId="29" borderId="3" xfId="182" applyNumberFormat="1" applyFont="1" applyFill="1" applyBorder="1" applyAlignment="1">
      <alignment vertical="center" wrapText="1"/>
      <protection locked="0"/>
    </xf>
    <xf numFmtId="0" fontId="4" fillId="31" borderId="3" xfId="0" applyFont="1" applyFill="1" applyBorder="1" applyAlignment="1" applyProtection="1">
      <alignment vertical="center" wrapText="1"/>
      <protection locked="0"/>
    </xf>
    <xf numFmtId="0" fontId="5" fillId="31" borderId="3" xfId="0" applyFont="1" applyFill="1" applyBorder="1" applyAlignment="1">
      <alignment horizontal="center" vertical="center"/>
    </xf>
    <xf numFmtId="198" fontId="5" fillId="31" borderId="16" xfId="0" applyNumberFormat="1" applyFont="1" applyFill="1" applyBorder="1" applyAlignment="1">
      <alignment horizontal="center" vertical="center" wrapText="1"/>
    </xf>
    <xf numFmtId="198" fontId="5" fillId="31" borderId="16" xfId="0" applyNumberFormat="1" applyFont="1" applyFill="1" applyBorder="1" applyAlignment="1">
      <alignment horizontal="right" vertical="center" wrapText="1"/>
    </xf>
    <xf numFmtId="0" fontId="4" fillId="29" borderId="0" xfId="0" applyFont="1" applyFill="1" applyBorder="1" applyAlignment="1">
      <alignment horizontal="center" vertical="center"/>
    </xf>
    <xf numFmtId="49" fontId="8" fillId="29" borderId="3" xfId="182" applyNumberFormat="1" applyFont="1" applyFill="1" applyBorder="1" applyAlignment="1">
      <alignment vertical="center" wrapText="1"/>
      <protection locked="0"/>
    </xf>
    <xf numFmtId="0" fontId="5" fillId="30" borderId="3" xfId="0" applyFont="1" applyFill="1" applyBorder="1" applyAlignment="1">
      <alignment horizontal="center" vertical="center"/>
    </xf>
    <xf numFmtId="198" fontId="4" fillId="30" borderId="3" xfId="0" applyNumberFormat="1" applyFont="1" applyFill="1" applyBorder="1" applyAlignment="1">
      <alignment horizontal="center" vertical="center" wrapText="1"/>
    </xf>
    <xf numFmtId="49" fontId="4" fillId="32" borderId="3" xfId="182" applyNumberFormat="1" applyFont="1" applyFill="1" applyBorder="1" applyAlignment="1">
      <alignment vertical="center" wrapText="1"/>
      <protection locked="0"/>
    </xf>
    <xf numFmtId="0" fontId="5" fillId="32" borderId="3" xfId="0" applyFont="1" applyFill="1" applyBorder="1" applyAlignment="1">
      <alignment horizontal="center" vertical="center"/>
    </xf>
    <xf numFmtId="198" fontId="4" fillId="32" borderId="3" xfId="0" applyNumberFormat="1" applyFont="1" applyFill="1" applyBorder="1" applyAlignment="1">
      <alignment horizontal="center" vertical="center" wrapText="1"/>
    </xf>
    <xf numFmtId="198" fontId="5" fillId="32" borderId="16" xfId="0" applyNumberFormat="1" applyFont="1" applyFill="1" applyBorder="1" applyAlignment="1">
      <alignment horizontal="center" vertical="center" wrapText="1"/>
    </xf>
    <xf numFmtId="198" fontId="4" fillId="32" borderId="16" xfId="0" applyNumberFormat="1" applyFont="1" applyFill="1" applyBorder="1" applyAlignment="1">
      <alignment horizontal="right" vertical="center" wrapText="1"/>
    </xf>
    <xf numFmtId="0" fontId="4" fillId="32" borderId="0" xfId="0" applyFont="1" applyFill="1" applyBorder="1" applyAlignment="1">
      <alignment vertical="center"/>
    </xf>
    <xf numFmtId="198" fontId="5" fillId="0" borderId="3" xfId="0" applyNumberFormat="1" applyFont="1" applyFill="1" applyBorder="1" applyAlignment="1">
      <alignment horizontal="center" vertical="center" wrapText="1"/>
    </xf>
    <xf numFmtId="0" fontId="4" fillId="29"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4" fillId="30" borderId="3" xfId="0" applyFont="1" applyFill="1" applyBorder="1" applyAlignment="1" applyProtection="1">
      <alignment horizontal="left" vertical="center" wrapText="1"/>
      <protection locked="0"/>
    </xf>
    <xf numFmtId="0" fontId="5" fillId="30" borderId="16" xfId="0" quotePrefix="1" applyNumberFormat="1" applyFont="1" applyFill="1" applyBorder="1" applyAlignment="1">
      <alignment horizontal="center" vertical="center"/>
    </xf>
    <xf numFmtId="199" fontId="4" fillId="30" borderId="16" xfId="0" applyNumberFormat="1" applyFont="1" applyFill="1" applyBorder="1" applyAlignment="1">
      <alignment horizontal="right" vertical="center" wrapText="1"/>
    </xf>
    <xf numFmtId="0" fontId="4" fillId="30" borderId="16" xfId="0" applyFont="1" applyFill="1" applyBorder="1" applyAlignment="1" applyProtection="1">
      <alignment horizontal="left" vertical="center" wrapText="1"/>
      <protection locked="0"/>
    </xf>
    <xf numFmtId="0" fontId="5" fillId="30" borderId="3" xfId="0" quotePrefix="1" applyNumberFormat="1" applyFont="1" applyFill="1" applyBorder="1" applyAlignment="1">
      <alignment horizontal="center" vertical="center" wrapText="1"/>
    </xf>
    <xf numFmtId="199" fontId="4" fillId="0" borderId="16" xfId="0" applyNumberFormat="1" applyFont="1" applyFill="1" applyBorder="1" applyAlignment="1">
      <alignment horizontal="center" vertical="center" wrapText="1"/>
    </xf>
    <xf numFmtId="0" fontId="4" fillId="30" borderId="3" xfId="245" applyFont="1" applyFill="1" applyBorder="1" applyAlignment="1">
      <alignment horizontal="left" vertical="center" wrapText="1"/>
    </xf>
    <xf numFmtId="0" fontId="5" fillId="33" borderId="3" xfId="0" applyFont="1" applyFill="1" applyBorder="1" applyAlignment="1">
      <alignment vertical="center"/>
    </xf>
    <xf numFmtId="0" fontId="5" fillId="33" borderId="3" xfId="0" applyFont="1" applyFill="1" applyBorder="1" applyAlignment="1">
      <alignment horizontal="center" vertical="center"/>
    </xf>
    <xf numFmtId="0" fontId="5" fillId="33" borderId="0" xfId="0" applyFont="1" applyFill="1" applyBorder="1" applyAlignment="1">
      <alignment vertical="center"/>
    </xf>
    <xf numFmtId="0" fontId="5" fillId="33" borderId="0" xfId="0" applyFont="1" applyFill="1" applyBorder="1" applyAlignment="1">
      <alignment horizontal="center" vertical="center"/>
    </xf>
    <xf numFmtId="0" fontId="4" fillId="33" borderId="0" xfId="0" applyFont="1" applyFill="1" applyBorder="1" applyAlignment="1">
      <alignment horizontal="center" vertical="center"/>
    </xf>
    <xf numFmtId="0" fontId="5" fillId="33" borderId="0" xfId="0" applyFont="1" applyFill="1" applyAlignment="1">
      <alignment horizontal="left" vertical="center"/>
    </xf>
    <xf numFmtId="0" fontId="5" fillId="33" borderId="13" xfId="0" applyFont="1" applyFill="1" applyBorder="1" applyAlignment="1">
      <alignment horizontal="center" vertical="center" wrapText="1"/>
    </xf>
    <xf numFmtId="198" fontId="5" fillId="33" borderId="16" xfId="0" applyNumberFormat="1" applyFont="1" applyFill="1" applyBorder="1" applyAlignment="1">
      <alignment horizontal="center" vertical="center" wrapText="1"/>
    </xf>
    <xf numFmtId="198" fontId="4" fillId="33" borderId="16" xfId="0" applyNumberFormat="1" applyFont="1" applyFill="1" applyBorder="1" applyAlignment="1">
      <alignment horizontal="center" vertical="center" wrapText="1"/>
    </xf>
    <xf numFmtId="198" fontId="4" fillId="33" borderId="3" xfId="0" applyNumberFormat="1" applyFont="1" applyFill="1" applyBorder="1" applyAlignment="1">
      <alignment horizontal="center" vertical="center" wrapText="1"/>
    </xf>
    <xf numFmtId="198" fontId="5" fillId="33" borderId="3" xfId="0" applyNumberFormat="1" applyFont="1" applyFill="1" applyBorder="1" applyAlignment="1">
      <alignment horizontal="center" vertical="center" wrapText="1"/>
    </xf>
    <xf numFmtId="215" fontId="5" fillId="33" borderId="16" xfId="0" applyNumberFormat="1" applyFont="1" applyFill="1" applyBorder="1" applyAlignment="1">
      <alignment horizontal="center" vertical="center" wrapText="1"/>
    </xf>
    <xf numFmtId="215" fontId="5" fillId="33" borderId="3" xfId="0" applyNumberFormat="1" applyFont="1" applyFill="1" applyBorder="1" applyAlignment="1">
      <alignment horizontal="center" vertical="center" wrapText="1"/>
    </xf>
    <xf numFmtId="215" fontId="5" fillId="33" borderId="13" xfId="0" applyNumberFormat="1" applyFont="1" applyFill="1" applyBorder="1" applyAlignment="1">
      <alignment horizontal="center" vertical="center" wrapText="1"/>
    </xf>
    <xf numFmtId="215" fontId="5" fillId="33" borderId="17" xfId="0" applyNumberFormat="1" applyFont="1" applyFill="1" applyBorder="1" applyAlignment="1">
      <alignment horizontal="center" vertical="center" wrapText="1"/>
    </xf>
    <xf numFmtId="199" fontId="4" fillId="33" borderId="16" xfId="0" applyNumberFormat="1" applyFont="1" applyFill="1" applyBorder="1" applyAlignment="1">
      <alignment horizontal="center" vertical="center" wrapText="1"/>
    </xf>
    <xf numFmtId="199" fontId="5" fillId="33" borderId="16" xfId="0" applyNumberFormat="1" applyFont="1" applyFill="1" applyBorder="1" applyAlignment="1">
      <alignment horizontal="center" vertical="center" wrapText="1"/>
    </xf>
    <xf numFmtId="199" fontId="4" fillId="33" borderId="3" xfId="0" applyNumberFormat="1" applyFont="1" applyFill="1" applyBorder="1" applyAlignment="1">
      <alignment horizontal="center" vertical="center" wrapText="1"/>
    </xf>
    <xf numFmtId="215" fontId="5" fillId="33" borderId="16" xfId="0" applyNumberFormat="1" applyFont="1" applyFill="1" applyBorder="1" applyAlignment="1">
      <alignment vertical="center" wrapText="1"/>
    </xf>
    <xf numFmtId="206" fontId="7" fillId="33" borderId="0" xfId="0" applyNumberFormat="1" applyFont="1" applyFill="1" applyBorder="1" applyAlignment="1">
      <alignment horizontal="center" vertical="center" wrapText="1"/>
    </xf>
    <xf numFmtId="0" fontId="5" fillId="33" borderId="19" xfId="0" applyFont="1" applyFill="1" applyBorder="1" applyAlignment="1">
      <alignment vertical="center"/>
    </xf>
    <xf numFmtId="0" fontId="5" fillId="33" borderId="3" xfId="0" applyFont="1" applyFill="1" applyBorder="1" applyAlignment="1">
      <alignment horizontal="center" vertical="center" wrapText="1"/>
    </xf>
    <xf numFmtId="0" fontId="5" fillId="33" borderId="0" xfId="0" applyFont="1" applyFill="1" applyBorder="1" applyAlignment="1">
      <alignment horizontal="left" vertical="center"/>
    </xf>
    <xf numFmtId="199" fontId="4" fillId="34" borderId="3" xfId="0" applyNumberFormat="1" applyFont="1" applyFill="1" applyBorder="1" applyAlignment="1">
      <alignment horizontal="center" vertical="center" wrapText="1"/>
    </xf>
    <xf numFmtId="199" fontId="4" fillId="34" borderId="16" xfId="0" applyNumberFormat="1" applyFont="1" applyFill="1" applyBorder="1" applyAlignment="1">
      <alignment horizontal="right" vertical="center" wrapText="1"/>
    </xf>
    <xf numFmtId="215" fontId="4" fillId="34" borderId="3" xfId="0" applyNumberFormat="1" applyFont="1" applyFill="1" applyBorder="1" applyAlignment="1">
      <alignment vertical="center" wrapText="1"/>
    </xf>
    <xf numFmtId="206" fontId="4" fillId="34" borderId="3" xfId="0" applyNumberFormat="1" applyFont="1" applyFill="1" applyBorder="1" applyAlignment="1">
      <alignment horizontal="center" vertical="center" wrapText="1"/>
    </xf>
    <xf numFmtId="198" fontId="5" fillId="33" borderId="16" xfId="0" applyNumberFormat="1" applyFont="1" applyFill="1" applyBorder="1" applyAlignment="1">
      <alignment horizontal="center" vertical="center" wrapText="1"/>
    </xf>
    <xf numFmtId="198" fontId="4" fillId="33" borderId="16" xfId="0" applyNumberFormat="1" applyFont="1" applyFill="1" applyBorder="1" applyAlignment="1">
      <alignment horizontal="center" vertical="center" wrapText="1"/>
    </xf>
    <xf numFmtId="199" fontId="5" fillId="33" borderId="3" xfId="0" applyNumberFormat="1" applyFont="1" applyFill="1" applyBorder="1" applyAlignment="1">
      <alignment horizontal="center" vertical="center" wrapText="1"/>
    </xf>
    <xf numFmtId="1" fontId="5" fillId="33" borderId="3" xfId="0" applyNumberFormat="1" applyFont="1" applyFill="1" applyBorder="1" applyAlignment="1">
      <alignment horizontal="center" vertical="center" wrapText="1"/>
    </xf>
    <xf numFmtId="1" fontId="5" fillId="33" borderId="3" xfId="0" applyNumberFormat="1" applyFont="1" applyFill="1" applyBorder="1" applyAlignment="1">
      <alignment horizontal="center" vertical="center" wrapText="1"/>
    </xf>
    <xf numFmtId="199" fontId="5" fillId="33" borderId="3" xfId="0" applyNumberFormat="1" applyFont="1" applyFill="1" applyBorder="1" applyAlignment="1">
      <alignment horizontal="right" vertical="center" wrapText="1"/>
    </xf>
    <xf numFmtId="199" fontId="5" fillId="33" borderId="3"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199" fontId="4" fillId="0" borderId="3" xfId="0" applyNumberFormat="1" applyFont="1" applyFill="1" applyBorder="1" applyAlignment="1">
      <alignment horizontal="center" vertical="center" wrapText="1"/>
    </xf>
    <xf numFmtId="215" fontId="5" fillId="0" borderId="16" xfId="0" applyNumberFormat="1" applyFont="1" applyFill="1" applyBorder="1" applyAlignment="1">
      <alignment horizontal="center" vertical="center" wrapText="1"/>
    </xf>
    <xf numFmtId="215" fontId="5" fillId="0" borderId="13" xfId="0" applyNumberFormat="1" applyFont="1" applyFill="1" applyBorder="1" applyAlignment="1">
      <alignment horizontal="center" vertical="center" wrapText="1"/>
    </xf>
    <xf numFmtId="215" fontId="5" fillId="0" borderId="17" xfId="0"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215" fontId="4" fillId="33" borderId="3" xfId="0" applyNumberFormat="1" applyFont="1" applyFill="1" applyBorder="1" applyAlignment="1">
      <alignment horizontal="center" vertical="center" wrapText="1"/>
    </xf>
    <xf numFmtId="206" fontId="8" fillId="29" borderId="3" xfId="0" applyNumberFormat="1" applyFont="1" applyFill="1" applyBorder="1" applyAlignment="1">
      <alignment horizontal="center" vertical="center" wrapText="1"/>
    </xf>
    <xf numFmtId="3" fontId="5" fillId="33" borderId="3" xfId="0" applyNumberFormat="1" applyFont="1" applyFill="1" applyBorder="1" applyAlignment="1">
      <alignment horizontal="center" vertical="center" wrapText="1"/>
    </xf>
    <xf numFmtId="215" fontId="4" fillId="34" borderId="3" xfId="0" applyNumberFormat="1" applyFont="1" applyFill="1" applyBorder="1" applyAlignment="1">
      <alignment horizontal="center" vertical="center" wrapText="1"/>
    </xf>
    <xf numFmtId="215" fontId="5" fillId="31" borderId="16" xfId="0" applyNumberFormat="1" applyFont="1" applyFill="1" applyBorder="1" applyAlignment="1">
      <alignment horizontal="center" vertical="center" wrapText="1"/>
    </xf>
    <xf numFmtId="215" fontId="8" fillId="29" borderId="3" xfId="0" applyNumberFormat="1" applyFont="1" applyFill="1" applyBorder="1" applyAlignment="1">
      <alignment vertical="center" wrapText="1"/>
    </xf>
    <xf numFmtId="215" fontId="4" fillId="33" borderId="3" xfId="0" applyNumberFormat="1" applyFont="1" applyFill="1" applyBorder="1" applyAlignment="1">
      <alignment horizontal="center" vertical="center"/>
    </xf>
    <xf numFmtId="206" fontId="4" fillId="33" borderId="3" xfId="0" applyNumberFormat="1" applyFont="1" applyFill="1" applyBorder="1" applyAlignment="1">
      <alignment horizontal="center" vertical="center" wrapText="1"/>
    </xf>
    <xf numFmtId="206" fontId="5" fillId="33" borderId="3" xfId="0" applyNumberFormat="1" applyFont="1" applyFill="1" applyBorder="1" applyAlignment="1">
      <alignment horizontal="center" vertical="center" wrapText="1"/>
    </xf>
    <xf numFmtId="1" fontId="4" fillId="34" borderId="3" xfId="0" applyNumberFormat="1" applyFont="1" applyFill="1" applyBorder="1" applyAlignment="1">
      <alignment horizontal="center" vertical="center" wrapText="1"/>
    </xf>
    <xf numFmtId="206" fontId="4" fillId="32" borderId="3" xfId="0" applyNumberFormat="1" applyFont="1" applyFill="1" applyBorder="1" applyAlignment="1">
      <alignment horizontal="center" vertical="center" wrapText="1"/>
    </xf>
    <xf numFmtId="206" fontId="5" fillId="29" borderId="3" xfId="0" applyNumberFormat="1" applyFont="1" applyFill="1" applyBorder="1" applyAlignment="1">
      <alignment horizontal="center" vertical="center" wrapText="1"/>
    </xf>
    <xf numFmtId="206" fontId="4" fillId="29" borderId="3" xfId="0" applyNumberFormat="1" applyFont="1" applyFill="1" applyBorder="1" applyAlignment="1">
      <alignment horizontal="center" vertical="center" wrapText="1"/>
    </xf>
    <xf numFmtId="40" fontId="5" fillId="33" borderId="12" xfId="0" applyNumberFormat="1" applyFont="1" applyFill="1" applyBorder="1" applyAlignment="1">
      <alignment horizontal="center" wrapText="1"/>
    </xf>
    <xf numFmtId="0" fontId="5" fillId="33" borderId="20" xfId="0" applyFont="1" applyFill="1" applyBorder="1" applyAlignment="1">
      <alignment horizontal="left" vertical="center" wrapText="1"/>
    </xf>
    <xf numFmtId="0" fontId="5" fillId="33" borderId="15" xfId="0" applyFont="1" applyFill="1" applyBorder="1" applyAlignment="1">
      <alignment horizontal="left" vertical="center" wrapText="1"/>
    </xf>
    <xf numFmtId="0" fontId="5" fillId="0" borderId="0" xfId="0" applyFont="1" applyFill="1" applyAlignment="1">
      <alignment horizontal="center" vertical="center"/>
    </xf>
    <xf numFmtId="0" fontId="66" fillId="33" borderId="20" xfId="0" applyFont="1" applyFill="1" applyBorder="1" applyAlignment="1">
      <alignment horizontal="center"/>
    </xf>
    <xf numFmtId="199"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4" fillId="0" borderId="23" xfId="237"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15"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5" fillId="33" borderId="0" xfId="0" applyFont="1" applyFill="1" applyBorder="1" applyAlignment="1">
      <alignment vertical="top" wrapText="1"/>
    </xf>
    <xf numFmtId="0" fontId="0" fillId="0" borderId="0" xfId="0" applyAlignment="1">
      <alignment wrapText="1"/>
    </xf>
    <xf numFmtId="0" fontId="0" fillId="0" borderId="20" xfId="0" applyBorder="1" applyAlignment="1">
      <alignment wrapText="1"/>
    </xf>
    <xf numFmtId="0" fontId="0" fillId="0" borderId="19" xfId="0"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sharedStrings" Target="sharedStrings.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theme" Target="theme/theme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додаток до звіту"/>
    </sheetNames>
    <sheetDataSet>
      <sheetData sheetId="0" refreshError="1"/>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додаток до звіту"/>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додаток до звіту"/>
    </sheetNames>
    <sheetDataSet>
      <sheetData sheetId="0" refreshError="1"/>
      <sheetData sheetId="1" refreshError="1"/>
      <sheetData sheetId="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Inform"/>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додаток до звіт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додаток до звіту"/>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11"/>
  <sheetViews>
    <sheetView tabSelected="1" view="pageBreakPreview" zoomScale="70" zoomScaleNormal="70" zoomScaleSheetLayoutView="70" workbookViewId="0">
      <selection activeCell="F138" sqref="F138"/>
    </sheetView>
  </sheetViews>
  <sheetFormatPr defaultColWidth="8.85546875" defaultRowHeight="18.75"/>
  <cols>
    <col min="1" max="1" width="86.140625" style="3" customWidth="1"/>
    <col min="2" max="2" width="17.140625" style="14" customWidth="1"/>
    <col min="3" max="4" width="30.7109375" style="14" customWidth="1"/>
    <col min="5" max="5" width="22.85546875" style="112" customWidth="1"/>
    <col min="6" max="6" width="27" style="112" customWidth="1"/>
    <col min="7" max="7" width="25.7109375" style="14" customWidth="1"/>
    <col min="8" max="8" width="29.140625" style="14" customWidth="1"/>
    <col min="9" max="9" width="10" style="3" customWidth="1"/>
    <col min="10" max="10" width="9.5703125" style="3" customWidth="1"/>
    <col min="11" max="16384" width="8.85546875" style="3"/>
  </cols>
  <sheetData>
    <row r="1" spans="1:12" ht="18.75" customHeight="1">
      <c r="B1" s="13"/>
      <c r="C1" s="13"/>
      <c r="D1" s="13"/>
      <c r="E1" s="111"/>
      <c r="F1" s="111" t="s">
        <v>203</v>
      </c>
      <c r="G1" s="3"/>
      <c r="H1" s="3"/>
      <c r="J1" s="32"/>
      <c r="K1" s="32"/>
      <c r="L1" s="32"/>
    </row>
    <row r="2" spans="1:12" ht="18.75" customHeight="1">
      <c r="A2" s="26"/>
      <c r="E2" s="111"/>
      <c r="F2" s="181" t="s">
        <v>204</v>
      </c>
      <c r="G2" s="182"/>
      <c r="H2" s="182"/>
      <c r="I2" s="63"/>
      <c r="J2" s="32"/>
      <c r="K2" s="32"/>
      <c r="L2" s="32"/>
    </row>
    <row r="3" spans="1:12" ht="18.75" customHeight="1">
      <c r="A3" s="14"/>
      <c r="E3" s="131"/>
      <c r="F3" s="182"/>
      <c r="G3" s="182"/>
      <c r="H3" s="182"/>
      <c r="I3" s="63"/>
      <c r="J3" s="32"/>
      <c r="K3" s="32"/>
      <c r="L3" s="32"/>
    </row>
    <row r="4" spans="1:12" ht="18.75" customHeight="1">
      <c r="A4" s="14"/>
      <c r="E4" s="131"/>
      <c r="F4" s="182"/>
      <c r="G4" s="182"/>
      <c r="H4" s="182"/>
      <c r="I4" s="63"/>
      <c r="J4" s="32"/>
      <c r="K4" s="32"/>
      <c r="L4" s="32"/>
    </row>
    <row r="5" spans="1:12" ht="18.75" customHeight="1">
      <c r="A5" s="14"/>
      <c r="E5" s="131"/>
      <c r="F5" s="182"/>
      <c r="G5" s="182"/>
      <c r="H5" s="182"/>
      <c r="I5" s="63"/>
      <c r="J5" s="32"/>
      <c r="K5" s="32"/>
      <c r="L5" s="32"/>
    </row>
    <row r="6" spans="1:12">
      <c r="B6" s="4"/>
      <c r="C6" s="4"/>
      <c r="D6" s="4"/>
      <c r="F6" s="183"/>
      <c r="G6" s="183"/>
      <c r="H6" s="183"/>
    </row>
    <row r="7" spans="1:12" ht="20.100000000000001" customHeight="1">
      <c r="A7" s="55" t="s">
        <v>30</v>
      </c>
      <c r="B7" s="179"/>
      <c r="C7" s="179"/>
      <c r="D7" s="179"/>
      <c r="E7" s="179"/>
      <c r="F7" s="129"/>
      <c r="G7" s="109">
        <v>2023</v>
      </c>
      <c r="H7" s="6" t="s">
        <v>43</v>
      </c>
    </row>
    <row r="8" spans="1:12" ht="36" customHeight="1">
      <c r="A8" s="54" t="s">
        <v>11</v>
      </c>
      <c r="B8" s="163" t="s">
        <v>228</v>
      </c>
      <c r="C8" s="163"/>
      <c r="D8" s="163"/>
      <c r="E8" s="163"/>
      <c r="F8" s="163"/>
      <c r="G8" s="12" t="s">
        <v>29</v>
      </c>
      <c r="H8" s="110" t="s">
        <v>212</v>
      </c>
    </row>
    <row r="9" spans="1:12" ht="20.100000000000001" customHeight="1">
      <c r="A9" s="23" t="s">
        <v>12</v>
      </c>
      <c r="B9" s="164" t="s">
        <v>214</v>
      </c>
      <c r="C9" s="164"/>
      <c r="D9" s="164"/>
      <c r="E9" s="164"/>
      <c r="F9" s="164"/>
      <c r="G9" s="12" t="s">
        <v>28</v>
      </c>
      <c r="H9" s="110">
        <v>150</v>
      </c>
    </row>
    <row r="10" spans="1:12" ht="20.100000000000001" customHeight="1">
      <c r="A10" s="23" t="s">
        <v>16</v>
      </c>
      <c r="B10" s="164" t="s">
        <v>220</v>
      </c>
      <c r="C10" s="164"/>
      <c r="D10" s="164"/>
      <c r="E10" s="164"/>
      <c r="F10" s="164"/>
      <c r="G10" s="12" t="s">
        <v>27</v>
      </c>
      <c r="H10" s="110" t="s">
        <v>225</v>
      </c>
    </row>
    <row r="11" spans="1:12" ht="20.100000000000001" customHeight="1">
      <c r="A11" s="27" t="s">
        <v>86</v>
      </c>
      <c r="B11" s="164" t="s">
        <v>215</v>
      </c>
      <c r="C11" s="164"/>
      <c r="D11" s="164"/>
      <c r="E11" s="164"/>
      <c r="F11" s="164"/>
      <c r="G11" s="12" t="s">
        <v>6</v>
      </c>
      <c r="H11" s="110"/>
    </row>
    <row r="12" spans="1:12" ht="20.100000000000001" customHeight="1">
      <c r="A12" s="27" t="s">
        <v>14</v>
      </c>
      <c r="B12" s="164" t="s">
        <v>216</v>
      </c>
      <c r="C12" s="164"/>
      <c r="D12" s="164"/>
      <c r="E12" s="164"/>
      <c r="F12" s="164"/>
      <c r="G12" s="12" t="s">
        <v>5</v>
      </c>
      <c r="H12" s="110">
        <v>91000</v>
      </c>
    </row>
    <row r="13" spans="1:12" ht="20.100000000000001" customHeight="1">
      <c r="A13" s="27" t="s">
        <v>13</v>
      </c>
      <c r="B13" s="164" t="s">
        <v>217</v>
      </c>
      <c r="C13" s="164"/>
      <c r="D13" s="164"/>
      <c r="E13" s="164"/>
      <c r="F13" s="164"/>
      <c r="G13" s="12" t="s">
        <v>7</v>
      </c>
      <c r="H13" s="110" t="s">
        <v>213</v>
      </c>
    </row>
    <row r="14" spans="1:12" ht="20.100000000000001" customHeight="1">
      <c r="A14" s="27" t="s">
        <v>76</v>
      </c>
      <c r="B14" s="179"/>
      <c r="C14" s="179"/>
      <c r="D14" s="179"/>
      <c r="E14" s="179"/>
      <c r="F14" s="179" t="s">
        <v>35</v>
      </c>
      <c r="G14" s="180"/>
      <c r="H14" s="10"/>
    </row>
    <row r="15" spans="1:12" ht="20.100000000000001" customHeight="1">
      <c r="A15" s="27" t="s">
        <v>17</v>
      </c>
      <c r="B15" s="179" t="s">
        <v>218</v>
      </c>
      <c r="C15" s="179"/>
      <c r="D15" s="179"/>
      <c r="E15" s="179"/>
      <c r="F15" s="179" t="s">
        <v>36</v>
      </c>
      <c r="G15" s="184"/>
      <c r="H15" s="10"/>
    </row>
    <row r="16" spans="1:12" ht="20.100000000000001" customHeight="1">
      <c r="A16" s="27" t="s">
        <v>26</v>
      </c>
      <c r="B16" s="164">
        <v>135</v>
      </c>
      <c r="C16" s="164"/>
      <c r="D16" s="164"/>
      <c r="E16" s="164"/>
      <c r="F16" s="164"/>
      <c r="G16" s="28"/>
      <c r="H16" s="28"/>
    </row>
    <row r="17" spans="1:8" ht="20.100000000000001" customHeight="1">
      <c r="A17" s="23" t="s">
        <v>8</v>
      </c>
      <c r="B17" s="164" t="s">
        <v>230</v>
      </c>
      <c r="C17" s="164"/>
      <c r="D17" s="164"/>
      <c r="E17" s="164"/>
      <c r="F17" s="164"/>
      <c r="G17" s="24"/>
      <c r="H17" s="24"/>
    </row>
    <row r="18" spans="1:8" ht="20.100000000000001" customHeight="1">
      <c r="A18" s="27" t="s">
        <v>9</v>
      </c>
      <c r="B18" s="164" t="s">
        <v>224</v>
      </c>
      <c r="C18" s="164"/>
      <c r="D18" s="164"/>
      <c r="E18" s="164"/>
      <c r="F18" s="164"/>
      <c r="G18" s="28"/>
      <c r="H18" s="28"/>
    </row>
    <row r="19" spans="1:8" ht="20.100000000000001" customHeight="1">
      <c r="A19" s="23" t="s">
        <v>10</v>
      </c>
      <c r="B19" s="164" t="s">
        <v>227</v>
      </c>
      <c r="C19" s="164"/>
      <c r="D19" s="164"/>
      <c r="E19" s="164"/>
      <c r="F19" s="164"/>
      <c r="G19" s="24"/>
      <c r="H19" s="24"/>
    </row>
    <row r="20" spans="1:8" ht="19.5" customHeight="1">
      <c r="A20" s="25"/>
      <c r="B20" s="3"/>
      <c r="C20" s="3"/>
      <c r="D20" s="3"/>
      <c r="E20" s="111"/>
      <c r="F20" s="111"/>
      <c r="G20" s="3"/>
      <c r="H20" s="3"/>
    </row>
    <row r="21" spans="1:8" ht="19.5" customHeight="1">
      <c r="A21" s="178" t="s">
        <v>40</v>
      </c>
      <c r="B21" s="178"/>
      <c r="C21" s="178"/>
      <c r="D21" s="178"/>
      <c r="E21" s="178"/>
      <c r="F21" s="178"/>
      <c r="G21" s="178"/>
      <c r="H21" s="178"/>
    </row>
    <row r="22" spans="1:8">
      <c r="A22" s="178" t="s">
        <v>200</v>
      </c>
      <c r="B22" s="178"/>
      <c r="C22" s="178"/>
      <c r="D22" s="178"/>
      <c r="E22" s="178"/>
      <c r="F22" s="178"/>
      <c r="G22" s="178"/>
      <c r="H22" s="178"/>
    </row>
    <row r="23" spans="1:8">
      <c r="A23" s="178" t="s">
        <v>229</v>
      </c>
      <c r="B23" s="178"/>
      <c r="C23" s="178"/>
      <c r="D23" s="178"/>
      <c r="E23" s="178"/>
      <c r="F23" s="178"/>
      <c r="G23" s="178"/>
      <c r="H23" s="178"/>
    </row>
    <row r="24" spans="1:8">
      <c r="A24" s="168" t="s">
        <v>41</v>
      </c>
      <c r="B24" s="168"/>
      <c r="C24" s="168"/>
      <c r="D24" s="168"/>
      <c r="E24" s="168"/>
      <c r="F24" s="168"/>
      <c r="G24" s="168"/>
      <c r="H24" s="168"/>
    </row>
    <row r="25" spans="1:8" ht="9" customHeight="1">
      <c r="A25" s="11"/>
      <c r="B25" s="11"/>
      <c r="C25" s="11"/>
      <c r="D25" s="11"/>
      <c r="E25" s="113"/>
      <c r="F25" s="113"/>
      <c r="G25" s="11"/>
      <c r="H25" s="11"/>
    </row>
    <row r="26" spans="1:8">
      <c r="A26" s="178" t="s">
        <v>37</v>
      </c>
      <c r="B26" s="178"/>
      <c r="C26" s="178"/>
      <c r="D26" s="178"/>
      <c r="E26" s="178"/>
      <c r="F26" s="178"/>
      <c r="G26" s="178"/>
      <c r="H26" s="178"/>
    </row>
    <row r="27" spans="1:8" ht="12" customHeight="1">
      <c r="B27" s="15"/>
      <c r="C27" s="15"/>
      <c r="D27" s="15"/>
      <c r="E27" s="114"/>
      <c r="F27" s="114"/>
      <c r="G27" s="15"/>
      <c r="H27" s="15"/>
    </row>
    <row r="28" spans="1:8" ht="43.5" customHeight="1">
      <c r="A28" s="187" t="s">
        <v>51</v>
      </c>
      <c r="B28" s="185" t="s">
        <v>15</v>
      </c>
      <c r="C28" s="185" t="s">
        <v>39</v>
      </c>
      <c r="D28" s="185"/>
      <c r="E28" s="186" t="s">
        <v>231</v>
      </c>
      <c r="F28" s="186"/>
      <c r="G28" s="186"/>
      <c r="H28" s="186"/>
    </row>
    <row r="29" spans="1:8" ht="44.25" customHeight="1">
      <c r="A29" s="187"/>
      <c r="B29" s="185"/>
      <c r="C29" s="130" t="s">
        <v>44</v>
      </c>
      <c r="D29" s="7" t="s">
        <v>45</v>
      </c>
      <c r="E29" s="115" t="s">
        <v>46</v>
      </c>
      <c r="F29" s="115" t="s">
        <v>42</v>
      </c>
      <c r="G29" s="22" t="s">
        <v>49</v>
      </c>
      <c r="H29" s="22" t="s">
        <v>50</v>
      </c>
    </row>
    <row r="30" spans="1:8" ht="19.5" thickBot="1">
      <c r="A30" s="6">
        <v>1</v>
      </c>
      <c r="B30" s="7">
        <v>2</v>
      </c>
      <c r="C30" s="6">
        <v>3</v>
      </c>
      <c r="D30" s="7">
        <v>4</v>
      </c>
      <c r="E30" s="110">
        <v>5</v>
      </c>
      <c r="F30" s="130">
        <v>6</v>
      </c>
      <c r="G30" s="6">
        <v>7</v>
      </c>
      <c r="H30" s="7">
        <v>8</v>
      </c>
    </row>
    <row r="31" spans="1:8" s="5" customFormat="1" ht="19.5" thickBot="1">
      <c r="A31" s="169" t="s">
        <v>22</v>
      </c>
      <c r="B31" s="170"/>
      <c r="C31" s="170"/>
      <c r="D31" s="170"/>
      <c r="E31" s="170"/>
      <c r="F31" s="170"/>
      <c r="G31" s="170"/>
      <c r="H31" s="171"/>
    </row>
    <row r="32" spans="1:8" s="5" customFormat="1" ht="20.100000000000001" customHeight="1">
      <c r="A32" s="57" t="s">
        <v>104</v>
      </c>
      <c r="B32" s="6">
        <v>1000</v>
      </c>
      <c r="C32" s="137">
        <f>C33+C36+C40</f>
        <v>42371.3</v>
      </c>
      <c r="D32" s="137">
        <f>D33+D36+D40</f>
        <v>51055.100000000006</v>
      </c>
      <c r="E32" s="155">
        <f>E33+E36+E40</f>
        <v>16575</v>
      </c>
      <c r="F32" s="137">
        <f>F33+F36+F40</f>
        <v>14855.5</v>
      </c>
      <c r="G32" s="64">
        <f t="shared" ref="G32:G39" si="0">F32-E32</f>
        <v>-1719.5</v>
      </c>
      <c r="H32" s="65">
        <f t="shared" ref="H32:H94" si="1">(F32/E32)*100</f>
        <v>89.625942684766216</v>
      </c>
    </row>
    <row r="33" spans="1:8" s="5" customFormat="1" ht="20.100000000000001" customHeight="1">
      <c r="A33" s="57" t="s">
        <v>105</v>
      </c>
      <c r="B33" s="75">
        <v>1010</v>
      </c>
      <c r="C33" s="137">
        <f>SUM(C34:C35)</f>
        <v>32631</v>
      </c>
      <c r="D33" s="137">
        <f>SUM(D34:D35)</f>
        <v>36524.700000000004</v>
      </c>
      <c r="E33" s="156">
        <f>E34+E35</f>
        <v>10761</v>
      </c>
      <c r="F33" s="117">
        <f>SUM(F34:F35)</f>
        <v>10229.4</v>
      </c>
      <c r="G33" s="64">
        <f t="shared" si="0"/>
        <v>-531.60000000000036</v>
      </c>
      <c r="H33" s="66">
        <f t="shared" si="1"/>
        <v>95.059938667410094</v>
      </c>
    </row>
    <row r="34" spans="1:8" s="5" customFormat="1" ht="20.100000000000001" customHeight="1">
      <c r="A34" s="57" t="s">
        <v>106</v>
      </c>
      <c r="B34" s="75">
        <v>1011</v>
      </c>
      <c r="C34" s="137">
        <v>32622.400000000001</v>
      </c>
      <c r="D34" s="136">
        <f>7495.1+9915.1+8870.7+F34</f>
        <v>36508.300000000003</v>
      </c>
      <c r="E34" s="157">
        <v>10761</v>
      </c>
      <c r="F34" s="137">
        <v>10227.4</v>
      </c>
      <c r="G34" s="64">
        <f t="shared" si="0"/>
        <v>-533.60000000000036</v>
      </c>
      <c r="H34" s="66">
        <f t="shared" si="1"/>
        <v>95.041353034104631</v>
      </c>
    </row>
    <row r="35" spans="1:8" s="5" customFormat="1" ht="39.6" customHeight="1">
      <c r="A35" s="58" t="s">
        <v>107</v>
      </c>
      <c r="B35" s="6">
        <v>1012</v>
      </c>
      <c r="C35" s="137">
        <v>8.6</v>
      </c>
      <c r="D35" s="136">
        <f>14.4+SUM(F35)</f>
        <v>16.399999999999999</v>
      </c>
      <c r="E35" s="157">
        <v>0</v>
      </c>
      <c r="F35" s="136">
        <v>2</v>
      </c>
      <c r="G35" s="64">
        <f t="shared" si="0"/>
        <v>2</v>
      </c>
      <c r="H35" s="65" t="e">
        <f t="shared" si="1"/>
        <v>#DIV/0!</v>
      </c>
    </row>
    <row r="36" spans="1:8" s="5" customFormat="1" ht="20.100000000000001" customHeight="1">
      <c r="A36" s="57" t="s">
        <v>108</v>
      </c>
      <c r="B36" s="75">
        <v>1020</v>
      </c>
      <c r="C36" s="137">
        <v>2086.5</v>
      </c>
      <c r="D36" s="136">
        <f>488.4+359.1+342.3+SUM(F36)</f>
        <v>2007.9</v>
      </c>
      <c r="E36" s="156">
        <v>1534</v>
      </c>
      <c r="F36" s="137">
        <f>295.5+522.6</f>
        <v>818.1</v>
      </c>
      <c r="G36" s="64">
        <f t="shared" si="0"/>
        <v>-715.9</v>
      </c>
      <c r="H36" s="66">
        <f t="shared" si="1"/>
        <v>53.331160365058672</v>
      </c>
    </row>
    <row r="37" spans="1:8" s="5" customFormat="1" ht="20.100000000000001" customHeight="1">
      <c r="A37" s="57" t="s">
        <v>109</v>
      </c>
      <c r="B37" s="6">
        <v>1030</v>
      </c>
      <c r="C37" s="137"/>
      <c r="D37" s="136">
        <f t="shared" ref="D37:D43" si="2">SUM(F37)</f>
        <v>0</v>
      </c>
      <c r="E37" s="156"/>
      <c r="F37" s="116"/>
      <c r="G37" s="64">
        <f t="shared" si="0"/>
        <v>0</v>
      </c>
      <c r="H37" s="65" t="s">
        <v>219</v>
      </c>
    </row>
    <row r="38" spans="1:8" s="5" customFormat="1" ht="20.100000000000001" customHeight="1">
      <c r="A38" s="59" t="s">
        <v>110</v>
      </c>
      <c r="B38" s="6">
        <v>1031</v>
      </c>
      <c r="C38" s="137"/>
      <c r="D38" s="136">
        <f t="shared" si="2"/>
        <v>0</v>
      </c>
      <c r="E38" s="157"/>
      <c r="F38" s="116"/>
      <c r="G38" s="64">
        <f t="shared" si="0"/>
        <v>0</v>
      </c>
      <c r="H38" s="65" t="s">
        <v>219</v>
      </c>
    </row>
    <row r="39" spans="1:8" s="5" customFormat="1" ht="20.100000000000001" customHeight="1">
      <c r="A39" s="59" t="s">
        <v>110</v>
      </c>
      <c r="B39" s="6">
        <v>1032</v>
      </c>
      <c r="C39" s="137"/>
      <c r="D39" s="136">
        <f t="shared" si="2"/>
        <v>0</v>
      </c>
      <c r="E39" s="157"/>
      <c r="F39" s="116"/>
      <c r="G39" s="64">
        <f t="shared" si="0"/>
        <v>0</v>
      </c>
      <c r="H39" s="65" t="s">
        <v>219</v>
      </c>
    </row>
    <row r="40" spans="1:8" s="71" customFormat="1" ht="20.100000000000001" customHeight="1">
      <c r="A40" s="72" t="s">
        <v>111</v>
      </c>
      <c r="B40" s="69">
        <v>1040</v>
      </c>
      <c r="C40" s="73">
        <f>SUM(C41:C44)+C45</f>
        <v>7653.7999999999993</v>
      </c>
      <c r="D40" s="73">
        <f>SUM(D41:D44)+D45</f>
        <v>12522.5</v>
      </c>
      <c r="E40" s="161">
        <f>E41+E43+E45+E42+E44</f>
        <v>4280</v>
      </c>
      <c r="F40" s="73">
        <f>SUM(F41:F44)+F45</f>
        <v>3808</v>
      </c>
      <c r="G40" s="70">
        <f t="shared" ref="G40:G94" si="3">F40-E40</f>
        <v>-472</v>
      </c>
      <c r="H40" s="74">
        <f t="shared" si="1"/>
        <v>88.971962616822424</v>
      </c>
    </row>
    <row r="41" spans="1:8" s="5" customFormat="1" ht="20.100000000000001" customHeight="1">
      <c r="A41" s="58" t="s">
        <v>112</v>
      </c>
      <c r="B41" s="6">
        <v>1041</v>
      </c>
      <c r="C41" s="136">
        <v>31.8</v>
      </c>
      <c r="D41" s="136">
        <f t="shared" si="2"/>
        <v>0</v>
      </c>
      <c r="E41" s="157">
        <v>0</v>
      </c>
      <c r="F41" s="64">
        <v>0</v>
      </c>
      <c r="G41" s="64">
        <f t="shared" si="3"/>
        <v>0</v>
      </c>
      <c r="H41" s="65" t="s">
        <v>219</v>
      </c>
    </row>
    <row r="42" spans="1:8" s="5" customFormat="1" ht="20.100000000000001" customHeight="1">
      <c r="A42" s="58" t="s">
        <v>113</v>
      </c>
      <c r="B42" s="6">
        <v>1042</v>
      </c>
      <c r="C42" s="136"/>
      <c r="D42" s="136">
        <f t="shared" si="2"/>
        <v>0</v>
      </c>
      <c r="E42" s="157"/>
      <c r="F42" s="64">
        <v>0</v>
      </c>
      <c r="G42" s="64">
        <f t="shared" si="3"/>
        <v>0</v>
      </c>
      <c r="H42" s="65" t="s">
        <v>219</v>
      </c>
    </row>
    <row r="43" spans="1:8" s="5" customFormat="1" ht="20.100000000000001" customHeight="1">
      <c r="A43" s="10" t="s">
        <v>114</v>
      </c>
      <c r="B43" s="6">
        <v>1043</v>
      </c>
      <c r="C43" s="136">
        <v>0.2</v>
      </c>
      <c r="D43" s="136">
        <f t="shared" si="2"/>
        <v>29.2</v>
      </c>
      <c r="E43" s="157">
        <v>30</v>
      </c>
      <c r="F43" s="64">
        <v>29.2</v>
      </c>
      <c r="G43" s="64">
        <f t="shared" si="3"/>
        <v>-0.80000000000000071</v>
      </c>
      <c r="H43" s="65" t="s">
        <v>219</v>
      </c>
    </row>
    <row r="44" spans="1:8" s="5" customFormat="1" ht="20.100000000000001" customHeight="1">
      <c r="A44" s="10" t="s">
        <v>115</v>
      </c>
      <c r="B44" s="6">
        <v>1044</v>
      </c>
      <c r="C44" s="136">
        <v>1940.6</v>
      </c>
      <c r="D44" s="136">
        <f>584.6+495.9+759.9+SUM(F44)</f>
        <v>2486.5</v>
      </c>
      <c r="E44" s="157">
        <v>875</v>
      </c>
      <c r="F44" s="136">
        <f>10+566.8+18.8+0.3+1.1+49.1</f>
        <v>646.09999999999991</v>
      </c>
      <c r="G44" s="64">
        <f t="shared" si="3"/>
        <v>-228.90000000000009</v>
      </c>
      <c r="H44" s="65">
        <f t="shared" si="1"/>
        <v>73.839999999999989</v>
      </c>
    </row>
    <row r="45" spans="1:8" s="71" customFormat="1" ht="20.100000000000001" customHeight="1">
      <c r="A45" s="68" t="s">
        <v>205</v>
      </c>
      <c r="B45" s="77">
        <v>1045</v>
      </c>
      <c r="C45" s="78">
        <f>SUM(C46:C49)</f>
        <v>5681.2</v>
      </c>
      <c r="D45" s="78">
        <f>SUM(D46:D49)</f>
        <v>10006.799999999999</v>
      </c>
      <c r="E45" s="160">
        <f>E46+E47+E48+E49</f>
        <v>3375</v>
      </c>
      <c r="F45" s="78">
        <f>SUM(F46:F49)</f>
        <v>3132.7</v>
      </c>
      <c r="G45" s="78">
        <f t="shared" si="3"/>
        <v>-242.30000000000018</v>
      </c>
      <c r="H45" s="74">
        <f t="shared" si="1"/>
        <v>92.820740740740732</v>
      </c>
    </row>
    <row r="46" spans="1:8" s="5" customFormat="1" ht="20.100000000000001" customHeight="1">
      <c r="A46" s="60" t="s">
        <v>206</v>
      </c>
      <c r="B46" s="6" t="s">
        <v>201</v>
      </c>
      <c r="C46" s="136">
        <v>2209.1</v>
      </c>
      <c r="D46" s="136">
        <f>1380.1+1364.3+1381.3+SUM(F46)</f>
        <v>5718.2</v>
      </c>
      <c r="E46" s="157">
        <v>2360</v>
      </c>
      <c r="F46" s="162">
        <v>1592.5</v>
      </c>
      <c r="G46" s="64">
        <f t="shared" si="3"/>
        <v>-767.5</v>
      </c>
      <c r="H46" s="65">
        <f t="shared" si="1"/>
        <v>67.478813559322035</v>
      </c>
    </row>
    <row r="47" spans="1:8" s="5" customFormat="1" ht="20.100000000000001" customHeight="1">
      <c r="A47" s="60" t="s">
        <v>209</v>
      </c>
      <c r="B47" s="6" t="s">
        <v>202</v>
      </c>
      <c r="C47" s="136">
        <v>26.3</v>
      </c>
      <c r="D47" s="136">
        <f>SUM(F47)+11.6+2.9</f>
        <v>51.7</v>
      </c>
      <c r="E47" s="157">
        <v>10</v>
      </c>
      <c r="F47" s="136">
        <f>8.3+28.9</f>
        <v>37.200000000000003</v>
      </c>
      <c r="G47" s="64">
        <f t="shared" si="3"/>
        <v>27.200000000000003</v>
      </c>
      <c r="H47" s="65">
        <f t="shared" si="1"/>
        <v>372</v>
      </c>
    </row>
    <row r="48" spans="1:8" s="5" customFormat="1" ht="20.100000000000001" customHeight="1">
      <c r="A48" s="60" t="s">
        <v>221</v>
      </c>
      <c r="B48" s="6" t="s">
        <v>207</v>
      </c>
      <c r="C48" s="136">
        <v>470.6</v>
      </c>
      <c r="D48" s="136">
        <f>39.4+45.1+SUM(F48)+84.4</f>
        <v>261</v>
      </c>
      <c r="E48" s="157">
        <v>105</v>
      </c>
      <c r="F48" s="136">
        <v>92.1</v>
      </c>
      <c r="G48" s="64">
        <f t="shared" si="3"/>
        <v>-12.900000000000006</v>
      </c>
      <c r="H48" s="65">
        <f t="shared" si="1"/>
        <v>87.714285714285708</v>
      </c>
    </row>
    <row r="49" spans="1:8" s="5" customFormat="1" ht="20.100000000000001" customHeight="1">
      <c r="A49" s="60" t="s">
        <v>210</v>
      </c>
      <c r="B49" s="6" t="s">
        <v>208</v>
      </c>
      <c r="C49" s="136">
        <v>2975.2</v>
      </c>
      <c r="D49" s="136">
        <f>728.4+716+SUM(F49)+1120.6</f>
        <v>3975.9</v>
      </c>
      <c r="E49" s="157">
        <v>900</v>
      </c>
      <c r="F49" s="64">
        <v>1410.9</v>
      </c>
      <c r="G49" s="64">
        <f t="shared" si="3"/>
        <v>510.90000000000009</v>
      </c>
      <c r="H49" s="65">
        <f t="shared" si="1"/>
        <v>156.76666666666668</v>
      </c>
    </row>
    <row r="50" spans="1:8" s="82" customFormat="1" ht="20.100000000000001" customHeight="1">
      <c r="A50" s="84" t="s">
        <v>116</v>
      </c>
      <c r="B50" s="85">
        <v>2000</v>
      </c>
      <c r="C50" s="86">
        <f>C51+C76</f>
        <v>40506.300000000003</v>
      </c>
      <c r="D50" s="86">
        <f>D51+D76</f>
        <v>49384</v>
      </c>
      <c r="E50" s="153">
        <f>E51+E76</f>
        <v>16903</v>
      </c>
      <c r="F50" s="86">
        <f>F51+F76</f>
        <v>14212.400000000001</v>
      </c>
      <c r="G50" s="86">
        <f t="shared" si="3"/>
        <v>-2690.5999999999985</v>
      </c>
      <c r="H50" s="87">
        <f t="shared" si="1"/>
        <v>84.082115600780938</v>
      </c>
    </row>
    <row r="51" spans="1:8" s="71" customFormat="1" ht="20.100000000000001" customHeight="1">
      <c r="A51" s="83" t="s">
        <v>117</v>
      </c>
      <c r="B51" s="88">
        <v>2010</v>
      </c>
      <c r="C51" s="78">
        <f>C52+C53+C54+C61+C74+C75</f>
        <v>40447.4</v>
      </c>
      <c r="D51" s="78">
        <f>D52+D53+D54+D74+D75+D68</f>
        <v>45542.2</v>
      </c>
      <c r="E51" s="161">
        <f>E52+E53+E54+E68+E69+E70+E75+E74</f>
        <v>14696</v>
      </c>
      <c r="F51" s="78">
        <f>F52+F53+F54+F74+F75+F68</f>
        <v>12821.7</v>
      </c>
      <c r="G51" s="78">
        <f t="shared" si="3"/>
        <v>-1874.2999999999993</v>
      </c>
      <c r="H51" s="74">
        <f t="shared" si="1"/>
        <v>87.246189439303208</v>
      </c>
    </row>
    <row r="52" spans="1:8" s="5" customFormat="1" ht="20.100000000000001" customHeight="1">
      <c r="A52" s="61" t="s">
        <v>118</v>
      </c>
      <c r="B52" s="6">
        <v>2010</v>
      </c>
      <c r="C52" s="136">
        <v>22005.599999999999</v>
      </c>
      <c r="D52" s="136">
        <f>SUM(F52)+5604+6605.3+6775.5</f>
        <v>26132.3</v>
      </c>
      <c r="E52" s="157">
        <v>7150</v>
      </c>
      <c r="F52" s="64">
        <v>7147.5</v>
      </c>
      <c r="G52" s="64">
        <f t="shared" si="3"/>
        <v>-2.5</v>
      </c>
      <c r="H52" s="65">
        <f t="shared" si="1"/>
        <v>99.96503496503496</v>
      </c>
    </row>
    <row r="53" spans="1:8" s="5" customFormat="1" ht="20.100000000000001" customHeight="1">
      <c r="A53" s="61" t="s">
        <v>119</v>
      </c>
      <c r="B53" s="6">
        <v>2011</v>
      </c>
      <c r="C53" s="136">
        <v>4758.7</v>
      </c>
      <c r="D53" s="136">
        <f>SUM(F53)+1198.3+1391.3+1414.5</f>
        <v>5498.1</v>
      </c>
      <c r="E53" s="157">
        <v>1513</v>
      </c>
      <c r="F53" s="116">
        <v>1494</v>
      </c>
      <c r="G53" s="64">
        <f t="shared" si="3"/>
        <v>-19</v>
      </c>
      <c r="H53" s="65">
        <f t="shared" si="1"/>
        <v>98.744216787838738</v>
      </c>
    </row>
    <row r="54" spans="1:8" s="71" customFormat="1" ht="20.100000000000001" customHeight="1">
      <c r="A54" s="89" t="s">
        <v>120</v>
      </c>
      <c r="B54" s="77">
        <v>2020</v>
      </c>
      <c r="C54" s="78">
        <f>SUM(C55:C60)</f>
        <v>8724.7999999999993</v>
      </c>
      <c r="D54" s="150">
        <f>D55+D56+D57+D58+D59+D60+D61</f>
        <v>13258.4</v>
      </c>
      <c r="E54" s="150">
        <f>E55+E56+E57+E58+E59+E60+E61</f>
        <v>5616</v>
      </c>
      <c r="F54" s="154">
        <f>F55+F56+F57+F58+F59+F60+F61</f>
        <v>4019.5</v>
      </c>
      <c r="G54" s="78">
        <f t="shared" si="3"/>
        <v>-1596.5</v>
      </c>
      <c r="H54" s="74">
        <f t="shared" si="1"/>
        <v>71.572293447293447</v>
      </c>
    </row>
    <row r="55" spans="1:8" s="5" customFormat="1" ht="20.100000000000001" customHeight="1">
      <c r="A55" s="61" t="s">
        <v>121</v>
      </c>
      <c r="B55" s="6">
        <v>2021</v>
      </c>
      <c r="C55" s="136">
        <v>513.5</v>
      </c>
      <c r="D55" s="136">
        <f>SUM(F55)+108.3+128+276.2</f>
        <v>704.5</v>
      </c>
      <c r="E55" s="157">
        <v>460</v>
      </c>
      <c r="F55" s="136">
        <f>313.9-151.1+29.2</f>
        <v>191.99999999999997</v>
      </c>
      <c r="G55" s="64">
        <f t="shared" si="3"/>
        <v>-268</v>
      </c>
      <c r="H55" s="65">
        <f t="shared" si="1"/>
        <v>41.739130434782602</v>
      </c>
    </row>
    <row r="56" spans="1:8" s="5" customFormat="1" ht="20.100000000000001" customHeight="1">
      <c r="A56" s="61" t="s">
        <v>122</v>
      </c>
      <c r="B56" s="6">
        <v>2022</v>
      </c>
      <c r="C56" s="136">
        <v>5263.5</v>
      </c>
      <c r="D56" s="136">
        <f>SUM(F56)+2217.8+2118.8+2028.6</f>
        <v>8873.2999999999993</v>
      </c>
      <c r="E56" s="157">
        <v>3860</v>
      </c>
      <c r="F56" s="136">
        <v>2508.1</v>
      </c>
      <c r="G56" s="64">
        <f t="shared" si="3"/>
        <v>-1351.9</v>
      </c>
      <c r="H56" s="65">
        <f t="shared" si="1"/>
        <v>64.976683937823836</v>
      </c>
    </row>
    <row r="57" spans="1:8" s="5" customFormat="1" ht="20.100000000000001" customHeight="1">
      <c r="A57" s="61" t="s">
        <v>123</v>
      </c>
      <c r="B57" s="6">
        <v>2023</v>
      </c>
      <c r="C57" s="136">
        <v>601.20000000000005</v>
      </c>
      <c r="D57" s="136">
        <f>SUM(F57)+166.3+174.7+155.4</f>
        <v>732.19999999999993</v>
      </c>
      <c r="E57" s="157">
        <v>280</v>
      </c>
      <c r="F57" s="136">
        <v>235.8</v>
      </c>
      <c r="G57" s="64">
        <f t="shared" si="3"/>
        <v>-44.199999999999989</v>
      </c>
      <c r="H57" s="65">
        <f t="shared" si="1"/>
        <v>84.214285714285722</v>
      </c>
    </row>
    <row r="58" spans="1:8" s="5" customFormat="1" ht="20.100000000000001" customHeight="1">
      <c r="A58" s="61" t="s">
        <v>124</v>
      </c>
      <c r="B58" s="6">
        <v>2024</v>
      </c>
      <c r="C58" s="136">
        <v>2339.3000000000002</v>
      </c>
      <c r="D58" s="136">
        <f>SUM(F58)+205.1+163.4+260.1</f>
        <v>881.4</v>
      </c>
      <c r="E58" s="157">
        <v>275</v>
      </c>
      <c r="F58" s="136">
        <v>252.8</v>
      </c>
      <c r="G58" s="64">
        <f t="shared" si="3"/>
        <v>-22.199999999999989</v>
      </c>
      <c r="H58" s="65">
        <f t="shared" si="1"/>
        <v>91.927272727272737</v>
      </c>
    </row>
    <row r="59" spans="1:8" s="5" customFormat="1" ht="20.100000000000001" customHeight="1">
      <c r="A59" s="61" t="s">
        <v>125</v>
      </c>
      <c r="B59" s="6">
        <v>2025</v>
      </c>
      <c r="C59" s="136">
        <v>7.3</v>
      </c>
      <c r="D59" s="136">
        <f>SUM(F59)+2.5+35.8</f>
        <v>41.9</v>
      </c>
      <c r="E59" s="157">
        <v>25</v>
      </c>
      <c r="F59" s="136">
        <v>3.6</v>
      </c>
      <c r="G59" s="64">
        <f t="shared" si="3"/>
        <v>-21.4</v>
      </c>
      <c r="H59" s="65" t="s">
        <v>219</v>
      </c>
    </row>
    <row r="60" spans="1:8" s="5" customFormat="1" ht="20.100000000000001" customHeight="1">
      <c r="A60" s="61" t="s">
        <v>126</v>
      </c>
      <c r="B60" s="6">
        <v>2026</v>
      </c>
      <c r="C60" s="64"/>
      <c r="D60" s="64"/>
      <c r="E60" s="157"/>
      <c r="F60" s="116"/>
      <c r="G60" s="64">
        <f t="shared" si="3"/>
        <v>0</v>
      </c>
      <c r="H60" s="65" t="s">
        <v>219</v>
      </c>
    </row>
    <row r="61" spans="1:8" s="71" customFormat="1" ht="20.100000000000001" customHeight="1">
      <c r="A61" s="83" t="s">
        <v>127</v>
      </c>
      <c r="B61" s="77">
        <v>2027</v>
      </c>
      <c r="C61" s="78">
        <f>SUM(C62:C72)</f>
        <v>1689</v>
      </c>
      <c r="D61" s="78">
        <f>SUM(D62:D66)</f>
        <v>2025.1</v>
      </c>
      <c r="E61" s="160">
        <f>SUM(E62:E66)</f>
        <v>716</v>
      </c>
      <c r="F61" s="78">
        <f>SUM(F62:F66)</f>
        <v>827.2</v>
      </c>
      <c r="G61" s="78">
        <f t="shared" si="3"/>
        <v>111.20000000000005</v>
      </c>
      <c r="H61" s="74">
        <f t="shared" si="1"/>
        <v>115.53072625698324</v>
      </c>
    </row>
    <row r="62" spans="1:8" s="5" customFormat="1" ht="20.100000000000001" customHeight="1">
      <c r="A62" s="61" t="s">
        <v>128</v>
      </c>
      <c r="B62" s="6">
        <v>2028</v>
      </c>
      <c r="C62" s="136">
        <v>880</v>
      </c>
      <c r="D62" s="136">
        <f>SUM(F62)+338.3+159.8+14.8</f>
        <v>990.2</v>
      </c>
      <c r="E62" s="157">
        <v>492</v>
      </c>
      <c r="F62" s="136">
        <v>477.3</v>
      </c>
      <c r="G62" s="64">
        <f t="shared" si="3"/>
        <v>-14.699999999999989</v>
      </c>
      <c r="H62" s="65">
        <f t="shared" si="1"/>
        <v>97.012195121951223</v>
      </c>
    </row>
    <row r="63" spans="1:8" s="5" customFormat="1" ht="20.100000000000001" customHeight="1">
      <c r="A63" s="61" t="s">
        <v>129</v>
      </c>
      <c r="B63" s="6">
        <v>2029</v>
      </c>
      <c r="C63" s="136">
        <v>75.900000000000006</v>
      </c>
      <c r="D63" s="136">
        <f>SUM(F63)+12.8+19.1+33.7</f>
        <v>110.60000000000001</v>
      </c>
      <c r="E63" s="157">
        <v>50</v>
      </c>
      <c r="F63" s="136">
        <v>45</v>
      </c>
      <c r="G63" s="64">
        <f t="shared" si="3"/>
        <v>-5</v>
      </c>
      <c r="H63" s="65" t="s">
        <v>219</v>
      </c>
    </row>
    <row r="64" spans="1:8" s="5" customFormat="1" ht="20.100000000000001" customHeight="1">
      <c r="A64" s="61" t="s">
        <v>130</v>
      </c>
      <c r="B64" s="6">
        <v>2030</v>
      </c>
      <c r="C64" s="136">
        <v>708.7</v>
      </c>
      <c r="D64" s="136">
        <f>SUM(F64)+134+185.9+293.1</f>
        <v>914.2</v>
      </c>
      <c r="E64" s="157">
        <v>171</v>
      </c>
      <c r="F64" s="136">
        <v>301.2</v>
      </c>
      <c r="G64" s="64">
        <f t="shared" si="3"/>
        <v>130.19999999999999</v>
      </c>
      <c r="H64" s="65">
        <f t="shared" si="1"/>
        <v>176.14035087719299</v>
      </c>
    </row>
    <row r="65" spans="1:8" s="5" customFormat="1" ht="20.100000000000001" customHeight="1">
      <c r="A65" s="61" t="s">
        <v>131</v>
      </c>
      <c r="B65" s="6">
        <v>2031</v>
      </c>
      <c r="C65" s="136"/>
      <c r="D65" s="136">
        <f>SUM(F65)</f>
        <v>0</v>
      </c>
      <c r="E65" s="157">
        <v>0</v>
      </c>
      <c r="F65" s="136"/>
      <c r="G65" s="64">
        <f t="shared" si="3"/>
        <v>0</v>
      </c>
      <c r="H65" s="65" t="s">
        <v>219</v>
      </c>
    </row>
    <row r="66" spans="1:8" s="5" customFormat="1" ht="20.100000000000001" customHeight="1">
      <c r="A66" s="61" t="s">
        <v>132</v>
      </c>
      <c r="B66" s="6">
        <v>2032</v>
      </c>
      <c r="C66" s="136">
        <v>13.9</v>
      </c>
      <c r="D66" s="136">
        <f>SUM(F66)+3.2+3.2</f>
        <v>10.100000000000001</v>
      </c>
      <c r="E66" s="157">
        <v>3</v>
      </c>
      <c r="F66" s="136">
        <v>3.7</v>
      </c>
      <c r="G66" s="64">
        <f t="shared" si="3"/>
        <v>0.70000000000000018</v>
      </c>
      <c r="H66" s="65">
        <f t="shared" si="1"/>
        <v>123.33333333333334</v>
      </c>
    </row>
    <row r="67" spans="1:8" s="5" customFormat="1" ht="20.100000000000001" customHeight="1">
      <c r="A67" s="61" t="s">
        <v>133</v>
      </c>
      <c r="B67" s="6">
        <v>2033</v>
      </c>
      <c r="C67" s="136"/>
      <c r="D67" s="136">
        <f t="shared" ref="D67:D73" si="4">SUM(F67)</f>
        <v>0</v>
      </c>
      <c r="E67" s="157"/>
      <c r="F67" s="136"/>
      <c r="G67" s="64">
        <f t="shared" si="3"/>
        <v>0</v>
      </c>
      <c r="H67" s="65" t="s">
        <v>219</v>
      </c>
    </row>
    <row r="68" spans="1:8" s="5" customFormat="1" ht="20.100000000000001" customHeight="1">
      <c r="A68" s="61" t="s">
        <v>134</v>
      </c>
      <c r="B68" s="6">
        <v>2030</v>
      </c>
      <c r="C68" s="136">
        <v>10.5</v>
      </c>
      <c r="D68" s="136">
        <f>SUM(F68)+1.9+6.6</f>
        <v>17.600000000000001</v>
      </c>
      <c r="E68" s="157">
        <v>7</v>
      </c>
      <c r="F68" s="136">
        <v>9.1</v>
      </c>
      <c r="G68" s="64">
        <f t="shared" si="3"/>
        <v>2.0999999999999996</v>
      </c>
      <c r="H68" s="65">
        <f t="shared" si="1"/>
        <v>130</v>
      </c>
    </row>
    <row r="69" spans="1:8" s="5" customFormat="1" ht="20.100000000000001" customHeight="1">
      <c r="A69" s="61" t="s">
        <v>135</v>
      </c>
      <c r="B69" s="6">
        <v>2040</v>
      </c>
      <c r="C69" s="136"/>
      <c r="D69" s="136">
        <f t="shared" si="4"/>
        <v>0</v>
      </c>
      <c r="E69" s="157"/>
      <c r="F69" s="136"/>
      <c r="G69" s="64">
        <f t="shared" si="3"/>
        <v>0</v>
      </c>
      <c r="H69" s="65" t="s">
        <v>219</v>
      </c>
    </row>
    <row r="70" spans="1:8" s="5" customFormat="1" ht="20.100000000000001" customHeight="1">
      <c r="A70" s="61" t="s">
        <v>136</v>
      </c>
      <c r="B70" s="6">
        <v>2050</v>
      </c>
      <c r="C70" s="136"/>
      <c r="D70" s="136">
        <f t="shared" si="4"/>
        <v>0</v>
      </c>
      <c r="E70" s="157"/>
      <c r="F70" s="136"/>
      <c r="G70" s="64">
        <f t="shared" si="3"/>
        <v>0</v>
      </c>
      <c r="H70" s="65" t="s">
        <v>219</v>
      </c>
    </row>
    <row r="71" spans="1:8" s="5" customFormat="1" ht="20.100000000000001" customHeight="1">
      <c r="A71" s="61" t="s">
        <v>137</v>
      </c>
      <c r="B71" s="6">
        <v>2051</v>
      </c>
      <c r="C71" s="136"/>
      <c r="D71" s="136">
        <f t="shared" si="4"/>
        <v>0</v>
      </c>
      <c r="E71" s="157"/>
      <c r="F71" s="136"/>
      <c r="G71" s="64">
        <f t="shared" si="3"/>
        <v>0</v>
      </c>
      <c r="H71" s="65" t="s">
        <v>219</v>
      </c>
    </row>
    <row r="72" spans="1:8" s="5" customFormat="1" ht="20.100000000000001" customHeight="1">
      <c r="A72" s="61" t="s">
        <v>138</v>
      </c>
      <c r="B72" s="6">
        <v>2052</v>
      </c>
      <c r="C72" s="136"/>
      <c r="D72" s="136">
        <f t="shared" si="4"/>
        <v>0</v>
      </c>
      <c r="E72" s="157"/>
      <c r="F72" s="136"/>
      <c r="G72" s="64">
        <f t="shared" si="3"/>
        <v>0</v>
      </c>
      <c r="H72" s="65" t="s">
        <v>219</v>
      </c>
    </row>
    <row r="73" spans="1:8" s="5" customFormat="1" ht="20.100000000000001" customHeight="1">
      <c r="A73" s="61" t="s">
        <v>156</v>
      </c>
      <c r="B73" s="6">
        <v>2053</v>
      </c>
      <c r="C73" s="136"/>
      <c r="D73" s="136">
        <f t="shared" si="4"/>
        <v>0</v>
      </c>
      <c r="E73" s="157"/>
      <c r="F73" s="136"/>
      <c r="G73" s="64">
        <f t="shared" si="3"/>
        <v>0</v>
      </c>
      <c r="H73" s="65" t="s">
        <v>219</v>
      </c>
    </row>
    <row r="74" spans="1:8" s="5" customFormat="1" ht="20.100000000000001" customHeight="1">
      <c r="A74" s="61" t="s">
        <v>4</v>
      </c>
      <c r="B74" s="6">
        <v>2060</v>
      </c>
      <c r="C74" s="136">
        <v>3258.3</v>
      </c>
      <c r="D74" s="136">
        <f>SUM(F74)+116.9+78.6+267.5</f>
        <v>614.1</v>
      </c>
      <c r="E74" s="157">
        <v>400</v>
      </c>
      <c r="F74" s="136">
        <v>151.1</v>
      </c>
      <c r="G74" s="64">
        <f t="shared" si="3"/>
        <v>-248.9</v>
      </c>
      <c r="H74" s="65">
        <f t="shared" si="1"/>
        <v>37.774999999999999</v>
      </c>
    </row>
    <row r="75" spans="1:8" s="5" customFormat="1" ht="20.100000000000001" customHeight="1">
      <c r="A75" s="61" t="s">
        <v>222</v>
      </c>
      <c r="B75" s="6">
        <v>2070</v>
      </c>
      <c r="C75" s="136">
        <v>11</v>
      </c>
      <c r="D75" s="136">
        <f>20.9+F75+0.3+0</f>
        <v>21.7</v>
      </c>
      <c r="E75" s="157">
        <v>10</v>
      </c>
      <c r="F75" s="136">
        <v>0.5</v>
      </c>
      <c r="G75" s="64">
        <f t="shared" si="3"/>
        <v>-9.5</v>
      </c>
      <c r="H75" s="65">
        <f t="shared" si="1"/>
        <v>5</v>
      </c>
    </row>
    <row r="76" spans="1:8" s="97" customFormat="1" ht="20.100000000000001" customHeight="1">
      <c r="A76" s="92" t="s">
        <v>139</v>
      </c>
      <c r="B76" s="93">
        <v>2100</v>
      </c>
      <c r="C76" s="94">
        <f>SUM(C77:C91)</f>
        <v>58.9</v>
      </c>
      <c r="D76" s="94">
        <f>SUM(D77:D91)</f>
        <v>3841.8</v>
      </c>
      <c r="E76" s="159">
        <f>E77+E78+E81+E84+E88+E89+E90+E91</f>
        <v>2207</v>
      </c>
      <c r="F76" s="94">
        <f>SUM(F77:F91)</f>
        <v>1390.7</v>
      </c>
      <c r="G76" s="95">
        <f t="shared" si="3"/>
        <v>-816.3</v>
      </c>
      <c r="H76" s="96">
        <v>0</v>
      </c>
    </row>
    <row r="77" spans="1:8" s="5" customFormat="1" ht="20.100000000000001" customHeight="1">
      <c r="A77" s="61" t="s">
        <v>140</v>
      </c>
      <c r="B77" s="6">
        <v>2110</v>
      </c>
      <c r="C77" s="67"/>
      <c r="D77" s="67"/>
      <c r="E77" s="157"/>
      <c r="F77" s="118"/>
      <c r="G77" s="64">
        <f t="shared" si="3"/>
        <v>0</v>
      </c>
      <c r="H77" s="66" t="s">
        <v>219</v>
      </c>
    </row>
    <row r="78" spans="1:8" s="5" customFormat="1">
      <c r="A78" s="61" t="s">
        <v>141</v>
      </c>
      <c r="B78" s="6">
        <v>2120</v>
      </c>
      <c r="C78" s="118"/>
      <c r="D78" s="118"/>
      <c r="E78" s="157">
        <f>E79+E80</f>
        <v>0</v>
      </c>
      <c r="F78" s="118"/>
      <c r="G78" s="64">
        <f t="shared" si="3"/>
        <v>0</v>
      </c>
      <c r="H78" s="65" t="s">
        <v>219</v>
      </c>
    </row>
    <row r="79" spans="1:8" s="5" customFormat="1" ht="20.100000000000001" customHeight="1">
      <c r="A79" s="61" t="s">
        <v>142</v>
      </c>
      <c r="B79" s="6">
        <v>2121</v>
      </c>
      <c r="C79" s="64"/>
      <c r="D79" s="64"/>
      <c r="E79" s="157"/>
      <c r="F79" s="116"/>
      <c r="G79" s="64">
        <f t="shared" si="3"/>
        <v>0</v>
      </c>
      <c r="H79" s="65" t="s">
        <v>219</v>
      </c>
    </row>
    <row r="80" spans="1:8" s="5" customFormat="1">
      <c r="A80" s="61" t="s">
        <v>143</v>
      </c>
      <c r="B80" s="6">
        <v>2122</v>
      </c>
      <c r="C80" s="64"/>
      <c r="D80" s="64"/>
      <c r="E80" s="157"/>
      <c r="F80" s="116"/>
      <c r="G80" s="64">
        <f t="shared" si="3"/>
        <v>0</v>
      </c>
      <c r="H80" s="65" t="s">
        <v>219</v>
      </c>
    </row>
    <row r="81" spans="1:8" s="5" customFormat="1" ht="20.100000000000001" customHeight="1">
      <c r="A81" s="61" t="s">
        <v>144</v>
      </c>
      <c r="B81" s="6">
        <v>2130</v>
      </c>
      <c r="C81" s="64"/>
      <c r="D81" s="64"/>
      <c r="E81" s="157">
        <f>E82+E83</f>
        <v>0</v>
      </c>
      <c r="F81" s="116"/>
      <c r="G81" s="64">
        <f t="shared" si="3"/>
        <v>0</v>
      </c>
      <c r="H81" s="65" t="s">
        <v>219</v>
      </c>
    </row>
    <row r="82" spans="1:8" s="5" customFormat="1" ht="20.100000000000001" customHeight="1">
      <c r="A82" s="61" t="s">
        <v>145</v>
      </c>
      <c r="B82" s="6">
        <v>2131</v>
      </c>
      <c r="C82" s="64"/>
      <c r="D82" s="64"/>
      <c r="E82" s="157"/>
      <c r="F82" s="116"/>
      <c r="G82" s="64">
        <f t="shared" si="3"/>
        <v>0</v>
      </c>
      <c r="H82" s="65" t="s">
        <v>219</v>
      </c>
    </row>
    <row r="83" spans="1:8" s="5" customFormat="1" ht="20.100000000000001" customHeight="1">
      <c r="A83" s="61" t="s">
        <v>146</v>
      </c>
      <c r="B83" s="6">
        <v>2132</v>
      </c>
      <c r="C83" s="64"/>
      <c r="D83" s="64"/>
      <c r="E83" s="157"/>
      <c r="F83" s="116"/>
      <c r="G83" s="64">
        <f t="shared" si="3"/>
        <v>0</v>
      </c>
      <c r="H83" s="65" t="s">
        <v>219</v>
      </c>
    </row>
    <row r="84" spans="1:8" s="5" customFormat="1" ht="20.100000000000001" customHeight="1">
      <c r="A84" s="61" t="s">
        <v>147</v>
      </c>
      <c r="B84" s="6">
        <v>2140</v>
      </c>
      <c r="C84" s="64"/>
      <c r="D84" s="64"/>
      <c r="E84" s="157">
        <v>807</v>
      </c>
      <c r="F84" s="116"/>
      <c r="G84" s="64">
        <f t="shared" si="3"/>
        <v>-807</v>
      </c>
      <c r="H84" s="65" t="s">
        <v>219</v>
      </c>
    </row>
    <row r="85" spans="1:8" s="5" customFormat="1" ht="20.100000000000001" customHeight="1">
      <c r="A85" s="61" t="s">
        <v>148</v>
      </c>
      <c r="B85" s="6">
        <v>2141</v>
      </c>
      <c r="C85" s="64"/>
      <c r="D85" s="64"/>
      <c r="E85" s="157"/>
      <c r="F85" s="116"/>
      <c r="G85" s="64">
        <f t="shared" si="3"/>
        <v>0</v>
      </c>
      <c r="H85" s="65" t="s">
        <v>219</v>
      </c>
    </row>
    <row r="86" spans="1:8" s="5" customFormat="1" ht="20.100000000000001" customHeight="1">
      <c r="A86" s="61" t="s">
        <v>149</v>
      </c>
      <c r="B86" s="6">
        <v>2142</v>
      </c>
      <c r="C86" s="64"/>
      <c r="D86" s="64"/>
      <c r="E86" s="157">
        <v>807</v>
      </c>
      <c r="F86" s="116"/>
      <c r="G86" s="64">
        <f t="shared" si="3"/>
        <v>-807</v>
      </c>
      <c r="H86" s="65" t="s">
        <v>219</v>
      </c>
    </row>
    <row r="87" spans="1:8" s="5" customFormat="1" ht="20.100000000000001" customHeight="1">
      <c r="A87" s="61" t="s">
        <v>150</v>
      </c>
      <c r="B87" s="6">
        <v>2143</v>
      </c>
      <c r="C87" s="118"/>
      <c r="D87" s="118"/>
      <c r="E87" s="157"/>
      <c r="F87" s="118"/>
      <c r="G87" s="64">
        <f t="shared" si="3"/>
        <v>0</v>
      </c>
      <c r="H87" s="65" t="s">
        <v>219</v>
      </c>
    </row>
    <row r="88" spans="1:8" s="5" customFormat="1" ht="20.100000000000001" customHeight="1">
      <c r="A88" s="61" t="s">
        <v>151</v>
      </c>
      <c r="B88" s="6">
        <v>2150</v>
      </c>
      <c r="C88" s="64"/>
      <c r="D88" s="64"/>
      <c r="E88" s="157"/>
      <c r="F88" s="116"/>
      <c r="G88" s="64">
        <f t="shared" si="3"/>
        <v>0</v>
      </c>
      <c r="H88" s="65" t="s">
        <v>219</v>
      </c>
    </row>
    <row r="89" spans="1:8" s="5" customFormat="1" ht="20.100000000000001" customHeight="1">
      <c r="A89" s="61" t="s">
        <v>152</v>
      </c>
      <c r="B89" s="6">
        <v>2160</v>
      </c>
      <c r="C89" s="64"/>
      <c r="D89" s="64"/>
      <c r="E89" s="157"/>
      <c r="F89" s="116"/>
      <c r="G89" s="64">
        <f t="shared" si="3"/>
        <v>0</v>
      </c>
      <c r="H89" s="65" t="s">
        <v>219</v>
      </c>
    </row>
    <row r="90" spans="1:8" s="5" customFormat="1" ht="20.100000000000001" customHeight="1">
      <c r="A90" s="61" t="s">
        <v>211</v>
      </c>
      <c r="B90" s="6">
        <v>2170</v>
      </c>
      <c r="C90" s="64">
        <v>58.9</v>
      </c>
      <c r="D90" s="64"/>
      <c r="E90" s="157"/>
      <c r="F90" s="116">
        <v>0</v>
      </c>
      <c r="G90" s="64">
        <f t="shared" si="3"/>
        <v>0</v>
      </c>
      <c r="H90" s="65" t="s">
        <v>219</v>
      </c>
    </row>
    <row r="91" spans="1:8" s="5" customFormat="1" ht="20.100000000000001" customHeight="1">
      <c r="A91" s="61" t="s">
        <v>4</v>
      </c>
      <c r="B91" s="6">
        <v>2171</v>
      </c>
      <c r="C91" s="64"/>
      <c r="D91" s="136">
        <f>SUM(F91)+724.3+758.1+968.7</f>
        <v>3841.8</v>
      </c>
      <c r="E91" s="157">
        <v>1400</v>
      </c>
      <c r="F91" s="116">
        <v>1390.7</v>
      </c>
      <c r="G91" s="64">
        <f t="shared" si="3"/>
        <v>-9.2999999999999545</v>
      </c>
      <c r="H91" s="65" t="s">
        <v>219</v>
      </c>
    </row>
    <row r="92" spans="1:8" s="5" customFormat="1" ht="20.100000000000001" customHeight="1">
      <c r="A92" s="57" t="s">
        <v>153</v>
      </c>
      <c r="B92" s="6">
        <v>4000</v>
      </c>
      <c r="C92" s="118">
        <f>C32</f>
        <v>42371.3</v>
      </c>
      <c r="D92" s="118">
        <f>D32</f>
        <v>51055.100000000006</v>
      </c>
      <c r="E92" s="118">
        <f>E32</f>
        <v>16575</v>
      </c>
      <c r="F92" s="118">
        <f>F32</f>
        <v>14855.5</v>
      </c>
      <c r="G92" s="76">
        <f t="shared" si="3"/>
        <v>-1719.5</v>
      </c>
      <c r="H92" s="66">
        <f t="shared" si="1"/>
        <v>89.625942684766216</v>
      </c>
    </row>
    <row r="93" spans="1:8" s="5" customFormat="1" ht="20.100000000000001" customHeight="1">
      <c r="A93" s="57" t="s">
        <v>154</v>
      </c>
      <c r="B93" s="6">
        <v>5000</v>
      </c>
      <c r="C93" s="137">
        <f>C50</f>
        <v>40506.300000000003</v>
      </c>
      <c r="D93" s="76">
        <f>D50</f>
        <v>49384</v>
      </c>
      <c r="E93" s="149">
        <f>E51+E76</f>
        <v>16903</v>
      </c>
      <c r="F93" s="137">
        <f>F50</f>
        <v>14212.400000000001</v>
      </c>
      <c r="G93" s="76">
        <f t="shared" si="3"/>
        <v>-2690.5999999999985</v>
      </c>
      <c r="H93" s="66">
        <f t="shared" si="1"/>
        <v>84.082115600780938</v>
      </c>
    </row>
    <row r="94" spans="1:8" s="5" customFormat="1" ht="20.100000000000001" customHeight="1" thickBot="1">
      <c r="A94" s="62" t="s">
        <v>155</v>
      </c>
      <c r="B94" s="6">
        <v>6000</v>
      </c>
      <c r="C94" s="136">
        <f>C92-C93</f>
        <v>1865</v>
      </c>
      <c r="D94" s="64">
        <f>D92-D93</f>
        <v>1671.1000000000058</v>
      </c>
      <c r="E94" s="136">
        <f>E92-E93</f>
        <v>-328</v>
      </c>
      <c r="F94" s="116">
        <f>F92-F93</f>
        <v>643.09999999999854</v>
      </c>
      <c r="G94" s="64">
        <f t="shared" si="3"/>
        <v>971.09999999999854</v>
      </c>
      <c r="H94" s="65">
        <f t="shared" si="1"/>
        <v>-196.06707317073128</v>
      </c>
    </row>
    <row r="95" spans="1:8" s="5" customFormat="1" ht="19.5" thickBot="1">
      <c r="A95" s="169" t="s">
        <v>32</v>
      </c>
      <c r="B95" s="170"/>
      <c r="C95" s="170"/>
      <c r="D95" s="170"/>
      <c r="E95" s="170"/>
      <c r="F95" s="170"/>
      <c r="G95" s="170"/>
      <c r="H95" s="171"/>
    </row>
    <row r="96" spans="1:8" s="81" customFormat="1" ht="41.25" customHeight="1">
      <c r="A96" s="108" t="s">
        <v>72</v>
      </c>
      <c r="B96" s="90">
        <v>7100</v>
      </c>
      <c r="C96" s="91">
        <f>SUM(C97:C100)</f>
        <v>9.8000000000000007</v>
      </c>
      <c r="D96" s="91">
        <f>SUM(D97:D100)</f>
        <v>0</v>
      </c>
      <c r="E96" s="91">
        <f>SUM(E97:E100)</f>
        <v>0</v>
      </c>
      <c r="F96" s="91">
        <f>SUM(F97:F100)</f>
        <v>0</v>
      </c>
      <c r="G96" s="91">
        <f>F96-E96</f>
        <v>0</v>
      </c>
      <c r="H96" s="80" t="s">
        <v>219</v>
      </c>
    </row>
    <row r="97" spans="1:8" s="5" customFormat="1" ht="37.5">
      <c r="A97" s="8" t="s">
        <v>87</v>
      </c>
      <c r="B97" s="6">
        <v>7110</v>
      </c>
      <c r="C97" s="98">
        <v>9.8000000000000007</v>
      </c>
      <c r="D97" s="136">
        <f>SUM(F97)</f>
        <v>0</v>
      </c>
      <c r="E97" s="138">
        <v>0</v>
      </c>
      <c r="F97" s="119">
        <v>0</v>
      </c>
      <c r="G97" s="67">
        <f t="shared" ref="G97:G109" si="5">F97-E97</f>
        <v>0</v>
      </c>
      <c r="H97" s="66" t="s">
        <v>219</v>
      </c>
    </row>
    <row r="98" spans="1:8" s="5" customFormat="1" ht="37.5">
      <c r="A98" s="17" t="s">
        <v>88</v>
      </c>
      <c r="B98" s="7">
        <v>7120</v>
      </c>
      <c r="C98" s="98"/>
      <c r="D98" s="98"/>
      <c r="E98" s="119"/>
      <c r="F98" s="119"/>
      <c r="G98" s="67">
        <f t="shared" si="5"/>
        <v>0</v>
      </c>
      <c r="H98" s="66" t="s">
        <v>219</v>
      </c>
    </row>
    <row r="99" spans="1:8" s="5" customFormat="1" ht="19.5" customHeight="1">
      <c r="A99" s="30" t="s">
        <v>24</v>
      </c>
      <c r="B99" s="7">
        <v>7130</v>
      </c>
      <c r="C99" s="98"/>
      <c r="D99" s="98"/>
      <c r="E99" s="119"/>
      <c r="F99" s="119"/>
      <c r="G99" s="67">
        <f t="shared" si="5"/>
        <v>0</v>
      </c>
      <c r="H99" s="66" t="s">
        <v>219</v>
      </c>
    </row>
    <row r="100" spans="1:8" s="5" customFormat="1">
      <c r="A100" s="30" t="s">
        <v>77</v>
      </c>
      <c r="B100" s="7">
        <v>7140</v>
      </c>
      <c r="C100" s="98"/>
      <c r="D100" s="98"/>
      <c r="E100" s="119"/>
      <c r="F100" s="119"/>
      <c r="G100" s="67">
        <f t="shared" si="5"/>
        <v>0</v>
      </c>
      <c r="H100" s="66" t="s">
        <v>219</v>
      </c>
    </row>
    <row r="101" spans="1:8" s="71" customFormat="1" ht="37.5">
      <c r="A101" s="99" t="s">
        <v>73</v>
      </c>
      <c r="B101" s="100">
        <v>7200</v>
      </c>
      <c r="C101" s="73">
        <f>SUM(C102:C103)</f>
        <v>3960.2</v>
      </c>
      <c r="D101" s="73">
        <f>SUM(D102:D103)</f>
        <v>4718.5</v>
      </c>
      <c r="E101" s="73">
        <f>SUM(E102:E103)</f>
        <v>1287</v>
      </c>
      <c r="F101" s="73">
        <f>SUM(F102:F103)</f>
        <v>1286</v>
      </c>
      <c r="G101" s="73">
        <f t="shared" si="5"/>
        <v>-1</v>
      </c>
      <c r="H101" s="74">
        <f t="shared" ref="H101:H109" si="6">(F101/E101)*100</f>
        <v>99.922299922299914</v>
      </c>
    </row>
    <row r="102" spans="1:8" s="5" customFormat="1">
      <c r="A102" s="8" t="s">
        <v>21</v>
      </c>
      <c r="B102" s="7">
        <v>7210</v>
      </c>
      <c r="C102" s="98">
        <v>3957.2</v>
      </c>
      <c r="D102" s="119">
        <f>1024+1188.9+1219.6+1286</f>
        <v>4718.5</v>
      </c>
      <c r="E102" s="139">
        <v>1287</v>
      </c>
      <c r="F102" s="119">
        <v>1286</v>
      </c>
      <c r="G102" s="67">
        <f t="shared" si="5"/>
        <v>-1</v>
      </c>
      <c r="H102" s="66">
        <f t="shared" si="6"/>
        <v>99.922299922299914</v>
      </c>
    </row>
    <row r="103" spans="1:8" s="5" customFormat="1">
      <c r="A103" s="17" t="s">
        <v>89</v>
      </c>
      <c r="B103" s="19">
        <v>7220</v>
      </c>
      <c r="C103" s="98">
        <v>3</v>
      </c>
      <c r="D103" s="119">
        <v>0</v>
      </c>
      <c r="E103" s="139">
        <v>0</v>
      </c>
      <c r="F103" s="119">
        <v>0</v>
      </c>
      <c r="G103" s="67">
        <f t="shared" si="5"/>
        <v>0</v>
      </c>
      <c r="H103" s="66" t="s">
        <v>219</v>
      </c>
    </row>
    <row r="104" spans="1:8" s="71" customFormat="1" ht="49.5" customHeight="1">
      <c r="A104" s="99" t="s">
        <v>74</v>
      </c>
      <c r="B104" s="101">
        <v>7300</v>
      </c>
      <c r="C104" s="78">
        <f>SUM(C105:C108)</f>
        <v>5092.5999999999995</v>
      </c>
      <c r="D104" s="78">
        <f>SUM(D105:D108)</f>
        <v>5993.2</v>
      </c>
      <c r="E104" s="78">
        <f>SUM(E105:E108)</f>
        <v>1709</v>
      </c>
      <c r="F104" s="78">
        <f>SUM(F105:F108)</f>
        <v>1702.4</v>
      </c>
      <c r="G104" s="73">
        <f t="shared" si="5"/>
        <v>-6.5999999999999091</v>
      </c>
      <c r="H104" s="74">
        <f t="shared" si="6"/>
        <v>99.613809245172618</v>
      </c>
    </row>
    <row r="105" spans="1:8" s="5" customFormat="1" ht="25.5" customHeight="1">
      <c r="A105" s="30" t="s">
        <v>75</v>
      </c>
      <c r="B105" s="7">
        <v>7310</v>
      </c>
      <c r="C105" s="64">
        <v>4758.7</v>
      </c>
      <c r="D105" s="136">
        <f>1198.3+1391.3+1414.5+1493.9</f>
        <v>5498</v>
      </c>
      <c r="E105" s="140">
        <v>1494</v>
      </c>
      <c r="F105" s="136">
        <v>1493.9</v>
      </c>
      <c r="G105" s="67">
        <f>F105-E105</f>
        <v>-9.9999999999909051E-2</v>
      </c>
      <c r="H105" s="66">
        <f>(F105/E105)*100</f>
        <v>99.993306559571622</v>
      </c>
    </row>
    <row r="106" spans="1:8" s="5" customFormat="1" ht="22.5" customHeight="1">
      <c r="A106" s="30" t="s">
        <v>90</v>
      </c>
      <c r="B106" s="7">
        <v>7320</v>
      </c>
      <c r="C106" s="64">
        <v>332.5</v>
      </c>
      <c r="D106" s="136">
        <f>85.3+99.8+101.6+208.5</f>
        <v>495.2</v>
      </c>
      <c r="E106" s="140">
        <v>205</v>
      </c>
      <c r="F106" s="136">
        <v>208.5</v>
      </c>
      <c r="G106" s="67">
        <f>F106-E106</f>
        <v>3.5</v>
      </c>
      <c r="H106" s="66">
        <f>(F106/E106)*100</f>
        <v>101.70731707317073</v>
      </c>
    </row>
    <row r="107" spans="1:8" s="5" customFormat="1" ht="19.5" customHeight="1">
      <c r="A107" s="30" t="s">
        <v>91</v>
      </c>
      <c r="B107" s="7">
        <v>7330</v>
      </c>
      <c r="C107" s="64">
        <v>0</v>
      </c>
      <c r="D107" s="64"/>
      <c r="E107" s="140"/>
      <c r="F107" s="116"/>
      <c r="G107" s="67">
        <f t="shared" si="5"/>
        <v>0</v>
      </c>
      <c r="H107" s="51" t="s">
        <v>219</v>
      </c>
    </row>
    <row r="108" spans="1:8" s="5" customFormat="1" ht="33" customHeight="1">
      <c r="A108" s="30" t="s">
        <v>93</v>
      </c>
      <c r="B108" s="7">
        <v>7340</v>
      </c>
      <c r="C108" s="64">
        <v>1.4</v>
      </c>
      <c r="D108" s="64">
        <v>0</v>
      </c>
      <c r="E108" s="140">
        <v>10</v>
      </c>
      <c r="F108" s="116">
        <v>0</v>
      </c>
      <c r="G108" s="67">
        <f t="shared" si="5"/>
        <v>-10</v>
      </c>
      <c r="H108" s="51" t="s">
        <v>219</v>
      </c>
    </row>
    <row r="109" spans="1:8" s="5" customFormat="1" ht="22.5" customHeight="1" thickBot="1">
      <c r="A109" s="29" t="s">
        <v>92</v>
      </c>
      <c r="B109" s="7">
        <v>7000</v>
      </c>
      <c r="C109" s="137">
        <f>C96+C101+C104</f>
        <v>9062.5999999999985</v>
      </c>
      <c r="D109" s="76">
        <f>D96+D101+D104</f>
        <v>10711.7</v>
      </c>
      <c r="E109" s="117">
        <f>E96+E101+E104</f>
        <v>2996</v>
      </c>
      <c r="F109" s="117">
        <f>F96+F101+F104</f>
        <v>2988.4</v>
      </c>
      <c r="G109" s="67">
        <f t="shared" si="5"/>
        <v>-7.5999999999999091</v>
      </c>
      <c r="H109" s="66">
        <f t="shared" si="6"/>
        <v>99.746328437917228</v>
      </c>
    </row>
    <row r="110" spans="1:8" s="5" customFormat="1" ht="19.5" thickBot="1">
      <c r="A110" s="172" t="s">
        <v>98</v>
      </c>
      <c r="B110" s="173"/>
      <c r="C110" s="173"/>
      <c r="D110" s="173"/>
      <c r="E110" s="173"/>
      <c r="F110" s="173"/>
      <c r="G110" s="173"/>
      <c r="H110" s="174"/>
    </row>
    <row r="111" spans="1:8" s="81" customFormat="1" ht="20.100000000000001" customHeight="1">
      <c r="A111" s="105" t="s">
        <v>55</v>
      </c>
      <c r="B111" s="106">
        <v>8000</v>
      </c>
      <c r="C111" s="79">
        <f>SUM(C112:C117)</f>
        <v>6352.7</v>
      </c>
      <c r="D111" s="79">
        <f>SUM(D112:D117)</f>
        <v>20165.600000000002</v>
      </c>
      <c r="E111" s="79">
        <f>SUM(E112:E117)</f>
        <v>4760</v>
      </c>
      <c r="F111" s="79">
        <f>SUM(F112:F117)</f>
        <v>4268.2</v>
      </c>
      <c r="G111" s="91">
        <f>F111-E111</f>
        <v>-491.80000000000018</v>
      </c>
      <c r="H111" s="104">
        <f>(F111/E111)*100</f>
        <v>89.668067226890756</v>
      </c>
    </row>
    <row r="112" spans="1:8" s="5" customFormat="1" ht="20.100000000000001" customHeight="1">
      <c r="A112" s="8" t="s">
        <v>0</v>
      </c>
      <c r="B112" s="53">
        <v>8010</v>
      </c>
      <c r="C112" s="64"/>
      <c r="D112" s="64"/>
      <c r="E112" s="116"/>
      <c r="F112" s="116"/>
      <c r="G112" s="67">
        <f t="shared" ref="G112:G122" si="7">F112-E112</f>
        <v>0</v>
      </c>
      <c r="H112" s="51" t="s">
        <v>219</v>
      </c>
    </row>
    <row r="113" spans="1:8" s="5" customFormat="1" ht="20.100000000000001" customHeight="1">
      <c r="A113" s="8" t="s">
        <v>1</v>
      </c>
      <c r="B113" s="56">
        <v>8020</v>
      </c>
      <c r="C113" s="64">
        <v>5055</v>
      </c>
      <c r="D113" s="136">
        <f>4138.3+15480.9</f>
        <v>19619.2</v>
      </c>
      <c r="E113" s="141">
        <v>4500</v>
      </c>
      <c r="F113" s="116">
        <v>4138.3</v>
      </c>
      <c r="G113" s="67">
        <f t="shared" si="7"/>
        <v>-361.69999999999982</v>
      </c>
      <c r="H113" s="51">
        <f>(F113/E113)*100</f>
        <v>91.962222222222223</v>
      </c>
    </row>
    <row r="114" spans="1:8" s="5" customFormat="1" ht="20.100000000000001" customHeight="1">
      <c r="A114" s="8" t="s">
        <v>18</v>
      </c>
      <c r="B114" s="53">
        <v>8030</v>
      </c>
      <c r="C114" s="64">
        <v>1297.7</v>
      </c>
      <c r="D114" s="136">
        <f>129.9+416.5</f>
        <v>546.4</v>
      </c>
      <c r="E114" s="141">
        <v>260</v>
      </c>
      <c r="F114" s="136">
        <v>129.9</v>
      </c>
      <c r="G114" s="67">
        <f t="shared" si="7"/>
        <v>-130.1</v>
      </c>
      <c r="H114" s="51">
        <f>(F114/E114)*100</f>
        <v>49.96153846153846</v>
      </c>
    </row>
    <row r="115" spans="1:8" s="5" customFormat="1">
      <c r="A115" s="8" t="s">
        <v>2</v>
      </c>
      <c r="B115" s="56">
        <v>8040</v>
      </c>
      <c r="C115" s="64"/>
      <c r="D115" s="64"/>
      <c r="E115" s="116"/>
      <c r="F115" s="116"/>
      <c r="G115" s="67">
        <f t="shared" si="7"/>
        <v>0</v>
      </c>
      <c r="H115" s="51" t="s">
        <v>219</v>
      </c>
    </row>
    <row r="116" spans="1:8" s="5" customFormat="1" ht="37.5">
      <c r="A116" s="8" t="s">
        <v>19</v>
      </c>
      <c r="B116" s="53">
        <v>8050</v>
      </c>
      <c r="C116" s="64"/>
      <c r="D116" s="64"/>
      <c r="E116" s="116"/>
      <c r="F116" s="116"/>
      <c r="G116" s="67">
        <f t="shared" si="7"/>
        <v>0</v>
      </c>
      <c r="H116" s="51" t="s">
        <v>219</v>
      </c>
    </row>
    <row r="117" spans="1:8" s="5" customFormat="1">
      <c r="A117" s="8" t="s">
        <v>58</v>
      </c>
      <c r="B117" s="20">
        <v>8060</v>
      </c>
      <c r="C117" s="64"/>
      <c r="D117" s="64"/>
      <c r="E117" s="116"/>
      <c r="F117" s="116"/>
      <c r="G117" s="67">
        <f t="shared" si="7"/>
        <v>0</v>
      </c>
      <c r="H117" s="51" t="s">
        <v>219</v>
      </c>
    </row>
    <row r="118" spans="1:8" s="81" customFormat="1" ht="20.100000000000001" customHeight="1">
      <c r="A118" s="102" t="s">
        <v>56</v>
      </c>
      <c r="B118" s="103">
        <v>8100</v>
      </c>
      <c r="C118" s="91">
        <f>SUM(C119:C122)</f>
        <v>6352.7000000000007</v>
      </c>
      <c r="D118" s="91">
        <f>SUM(D119:D122)</f>
        <v>20165.600000000002</v>
      </c>
      <c r="E118" s="91">
        <f>SUM(E119:E122)</f>
        <v>0</v>
      </c>
      <c r="F118" s="91">
        <f>SUM(F119:F122)</f>
        <v>4268.2</v>
      </c>
      <c r="G118" s="91">
        <f t="shared" si="7"/>
        <v>4268.2</v>
      </c>
      <c r="H118" s="104" t="s">
        <v>219</v>
      </c>
    </row>
    <row r="119" spans="1:8" s="5" customFormat="1" ht="20.100000000000001" customHeight="1">
      <c r="A119" s="17" t="s">
        <v>78</v>
      </c>
      <c r="B119" s="36" t="s">
        <v>94</v>
      </c>
      <c r="C119" s="136"/>
      <c r="D119" s="136"/>
      <c r="E119" s="116"/>
      <c r="F119" s="116"/>
      <c r="G119" s="67">
        <f t="shared" si="7"/>
        <v>0</v>
      </c>
      <c r="H119" s="51" t="s">
        <v>219</v>
      </c>
    </row>
    <row r="120" spans="1:8" s="5" customFormat="1" ht="20.100000000000001" customHeight="1">
      <c r="A120" s="17" t="s">
        <v>79</v>
      </c>
      <c r="B120" s="36" t="s">
        <v>95</v>
      </c>
      <c r="C120" s="136"/>
      <c r="D120" s="136">
        <f>677.7</f>
        <v>677.7</v>
      </c>
      <c r="E120" s="116"/>
      <c r="F120" s="116">
        <v>677.7</v>
      </c>
      <c r="G120" s="67">
        <f t="shared" si="7"/>
        <v>677.7</v>
      </c>
      <c r="H120" s="51" t="s">
        <v>219</v>
      </c>
    </row>
    <row r="121" spans="1:8" s="5" customFormat="1" ht="20.100000000000001" customHeight="1">
      <c r="A121" s="17" t="s">
        <v>54</v>
      </c>
      <c r="B121" s="36" t="s">
        <v>96</v>
      </c>
      <c r="C121" s="136">
        <v>2052.6</v>
      </c>
      <c r="D121" s="136">
        <f>132.9+78.8</f>
        <v>211.7</v>
      </c>
      <c r="E121" s="116"/>
      <c r="F121" s="136">
        <f>118.3</f>
        <v>118.3</v>
      </c>
      <c r="G121" s="67">
        <f t="shared" si="7"/>
        <v>118.3</v>
      </c>
      <c r="H121" s="51" t="s">
        <v>219</v>
      </c>
    </row>
    <row r="122" spans="1:8" s="5" customFormat="1" ht="20.100000000000001" customHeight="1" thickBot="1">
      <c r="A122" s="44" t="s">
        <v>80</v>
      </c>
      <c r="B122" s="45" t="s">
        <v>97</v>
      </c>
      <c r="C122" s="136">
        <v>4300.1000000000004</v>
      </c>
      <c r="D122" s="136">
        <v>19276.2</v>
      </c>
      <c r="E122" s="116"/>
      <c r="F122" s="136">
        <v>3472.2</v>
      </c>
      <c r="G122" s="67">
        <f t="shared" si="7"/>
        <v>3472.2</v>
      </c>
      <c r="H122" s="51" t="s">
        <v>219</v>
      </c>
    </row>
    <row r="123" spans="1:8" s="5" customFormat="1" ht="19.5" thickBot="1">
      <c r="A123" s="175" t="s">
        <v>99</v>
      </c>
      <c r="B123" s="176"/>
      <c r="C123" s="176"/>
      <c r="D123" s="176"/>
      <c r="E123" s="176"/>
      <c r="F123" s="176"/>
      <c r="G123" s="176"/>
      <c r="H123" s="177"/>
    </row>
    <row r="124" spans="1:8" s="5" customFormat="1">
      <c r="A124" s="37" t="s">
        <v>65</v>
      </c>
      <c r="B124" s="38">
        <v>9010</v>
      </c>
      <c r="C124" s="145">
        <f>(C92/C32)*100</f>
        <v>100</v>
      </c>
      <c r="D124" s="145">
        <f>(D92/D32)*100</f>
        <v>100</v>
      </c>
      <c r="E124" s="120">
        <f>(E92/E32)*100</f>
        <v>100</v>
      </c>
      <c r="F124" s="120">
        <f>(F92/F32)*100</f>
        <v>100</v>
      </c>
      <c r="G124" s="121">
        <f>F124-E124</f>
        <v>0</v>
      </c>
      <c r="H124" s="50">
        <f>(F124/E124)*100</f>
        <v>100</v>
      </c>
    </row>
    <row r="125" spans="1:8" s="5" customFormat="1">
      <c r="A125" s="37" t="s">
        <v>66</v>
      </c>
      <c r="B125" s="38">
        <v>9020</v>
      </c>
      <c r="C125" s="145">
        <f>(C92/C137)*100</f>
        <v>145.72803312743332</v>
      </c>
      <c r="D125" s="145">
        <f>(D92/D137)*100</f>
        <v>105.20273973731821</v>
      </c>
      <c r="E125" s="120"/>
      <c r="F125" s="120">
        <f>(F92/F137)*100</f>
        <v>30.610836139146347</v>
      </c>
      <c r="G125" s="51" t="s">
        <v>219</v>
      </c>
      <c r="H125" s="51" t="s">
        <v>219</v>
      </c>
    </row>
    <row r="126" spans="1:8" s="5" customFormat="1">
      <c r="A126" s="30" t="s">
        <v>67</v>
      </c>
      <c r="B126" s="6">
        <v>9030</v>
      </c>
      <c r="C126" s="34">
        <f>(C92/C143)*100</f>
        <v>245.51970703102367</v>
      </c>
      <c r="D126" s="34">
        <f>(D92/D143)*100</f>
        <v>157.88983761082886</v>
      </c>
      <c r="E126" s="121"/>
      <c r="F126" s="121">
        <f>(F92/F143)*100</f>
        <v>45.941198482182344</v>
      </c>
      <c r="G126" s="51" t="s">
        <v>219</v>
      </c>
      <c r="H126" s="51" t="s">
        <v>219</v>
      </c>
    </row>
    <row r="127" spans="1:8" s="5" customFormat="1">
      <c r="A127" s="39" t="s">
        <v>38</v>
      </c>
      <c r="B127" s="40">
        <v>9040</v>
      </c>
      <c r="C127" s="146">
        <f>C143/C140</f>
        <v>1.4603225642674609</v>
      </c>
      <c r="D127" s="146">
        <f>D143/D140</f>
        <v>1.9967457685728929</v>
      </c>
      <c r="E127" s="122"/>
      <c r="F127" s="122">
        <f>F143/F140</f>
        <v>1.9967457685728929</v>
      </c>
      <c r="G127" s="51" t="s">
        <v>219</v>
      </c>
      <c r="H127" s="51" t="s">
        <v>219</v>
      </c>
    </row>
    <row r="128" spans="1:8" s="5" customFormat="1" ht="21.75" customHeight="1" thickBot="1">
      <c r="A128" s="52" t="s">
        <v>68</v>
      </c>
      <c r="B128" s="40">
        <v>9050</v>
      </c>
      <c r="C128" s="147">
        <f>C133/C132</f>
        <v>0.4870323650676851</v>
      </c>
      <c r="D128" s="147">
        <f>D133/D132</f>
        <v>0.38852223922003953</v>
      </c>
      <c r="E128" s="123"/>
      <c r="F128" s="123">
        <f>F133/F132</f>
        <v>0.38852223922003953</v>
      </c>
      <c r="G128" s="51" t="s">
        <v>219</v>
      </c>
      <c r="H128" s="51" t="s">
        <v>219</v>
      </c>
    </row>
    <row r="129" spans="1:8" s="5" customFormat="1" ht="19.5" thickBot="1">
      <c r="A129" s="169" t="s">
        <v>100</v>
      </c>
      <c r="B129" s="170"/>
      <c r="C129" s="170"/>
      <c r="D129" s="170"/>
      <c r="E129" s="170"/>
      <c r="F129" s="170"/>
      <c r="G129" s="170"/>
      <c r="H129" s="171"/>
    </row>
    <row r="130" spans="1:8" s="5" customFormat="1" ht="20.100000000000001" customHeight="1">
      <c r="A130" s="37" t="s">
        <v>59</v>
      </c>
      <c r="B130" s="38">
        <v>10000</v>
      </c>
      <c r="C130" s="119">
        <v>17878.3</v>
      </c>
      <c r="D130" s="98">
        <f>F130</f>
        <v>33588</v>
      </c>
      <c r="E130" s="116" t="s">
        <v>223</v>
      </c>
      <c r="F130" s="119">
        <v>33588</v>
      </c>
      <c r="G130" s="51" t="s">
        <v>219</v>
      </c>
      <c r="H130" s="51" t="s">
        <v>219</v>
      </c>
    </row>
    <row r="131" spans="1:8" s="5" customFormat="1" ht="20.100000000000001" customHeight="1">
      <c r="A131" s="37" t="s">
        <v>60</v>
      </c>
      <c r="B131" s="38">
        <v>10001</v>
      </c>
      <c r="C131" s="119">
        <v>17567.5</v>
      </c>
      <c r="D131" s="119">
        <f>D132-D133</f>
        <v>33215.899999999994</v>
      </c>
      <c r="E131" s="136" t="s">
        <v>223</v>
      </c>
      <c r="F131" s="119">
        <v>33215.9</v>
      </c>
      <c r="G131" s="51" t="s">
        <v>219</v>
      </c>
      <c r="H131" s="51" t="s">
        <v>219</v>
      </c>
    </row>
    <row r="132" spans="1:8" s="5" customFormat="1" ht="20.100000000000001" customHeight="1">
      <c r="A132" s="37" t="s">
        <v>61</v>
      </c>
      <c r="B132" s="38">
        <v>10002</v>
      </c>
      <c r="C132" s="119">
        <v>34246.800000000003</v>
      </c>
      <c r="D132" s="119">
        <f>F132</f>
        <v>54320.7</v>
      </c>
      <c r="E132" s="136" t="s">
        <v>223</v>
      </c>
      <c r="F132" s="119">
        <v>54320.7</v>
      </c>
      <c r="G132" s="51" t="s">
        <v>219</v>
      </c>
      <c r="H132" s="51" t="s">
        <v>219</v>
      </c>
    </row>
    <row r="133" spans="1:8" s="5" customFormat="1" ht="20.100000000000001" customHeight="1">
      <c r="A133" s="37" t="s">
        <v>62</v>
      </c>
      <c r="B133" s="38">
        <v>10003</v>
      </c>
      <c r="C133" s="119">
        <v>16679.3</v>
      </c>
      <c r="D133" s="119">
        <f>F133</f>
        <v>21104.799999999999</v>
      </c>
      <c r="E133" s="136" t="s">
        <v>223</v>
      </c>
      <c r="F133" s="119">
        <v>21104.799999999999</v>
      </c>
      <c r="G133" s="51" t="s">
        <v>219</v>
      </c>
      <c r="H133" s="51" t="s">
        <v>219</v>
      </c>
    </row>
    <row r="134" spans="1:8" s="5" customFormat="1" ht="20.100000000000001" customHeight="1">
      <c r="A134" s="30" t="s">
        <v>63</v>
      </c>
      <c r="B134" s="6">
        <v>10010</v>
      </c>
      <c r="C134" s="119">
        <v>11197.3</v>
      </c>
      <c r="D134" s="119">
        <f>F134</f>
        <v>14942.2</v>
      </c>
      <c r="E134" s="136" t="s">
        <v>223</v>
      </c>
      <c r="F134" s="98">
        <v>14942.2</v>
      </c>
      <c r="G134" s="51" t="s">
        <v>219</v>
      </c>
      <c r="H134" s="51" t="s">
        <v>219</v>
      </c>
    </row>
    <row r="135" spans="1:8" s="5" customFormat="1">
      <c r="A135" s="30" t="s">
        <v>64</v>
      </c>
      <c r="B135" s="6">
        <v>10011</v>
      </c>
      <c r="C135" s="119">
        <v>2431</v>
      </c>
      <c r="D135" s="119">
        <f>F135</f>
        <v>4478.8</v>
      </c>
      <c r="E135" s="136" t="s">
        <v>223</v>
      </c>
      <c r="F135" s="98">
        <v>4478.8</v>
      </c>
      <c r="G135" s="51" t="s">
        <v>219</v>
      </c>
      <c r="H135" s="51" t="s">
        <v>219</v>
      </c>
    </row>
    <row r="136" spans="1:8" s="5" customFormat="1">
      <c r="A136" s="30" t="s">
        <v>103</v>
      </c>
      <c r="B136" s="6">
        <v>10012</v>
      </c>
      <c r="C136" s="119">
        <v>50.8</v>
      </c>
      <c r="D136" s="119">
        <f>F136</f>
        <v>45.7</v>
      </c>
      <c r="E136" s="136" t="s">
        <v>223</v>
      </c>
      <c r="F136" s="98">
        <v>45.7</v>
      </c>
      <c r="G136" s="51" t="s">
        <v>219</v>
      </c>
      <c r="H136" s="51" t="s">
        <v>219</v>
      </c>
    </row>
    <row r="137" spans="1:8" s="5" customFormat="1" ht="20.100000000000001" customHeight="1">
      <c r="A137" s="29" t="s">
        <v>47</v>
      </c>
      <c r="B137" s="6">
        <v>10020</v>
      </c>
      <c r="C137" s="137">
        <f>C130+C134</f>
        <v>29075.599999999999</v>
      </c>
      <c r="D137" s="76">
        <f>D130+D134</f>
        <v>48530.2</v>
      </c>
      <c r="E137" s="137" t="s">
        <v>223</v>
      </c>
      <c r="F137" s="76">
        <f>F130+F134</f>
        <v>48530.2</v>
      </c>
      <c r="G137" s="51" t="s">
        <v>219</v>
      </c>
      <c r="H137" s="51" t="s">
        <v>219</v>
      </c>
    </row>
    <row r="138" spans="1:8" s="5" customFormat="1" ht="20.100000000000001" customHeight="1">
      <c r="A138" s="30" t="s">
        <v>33</v>
      </c>
      <c r="B138" s="6">
        <v>10030</v>
      </c>
      <c r="C138" s="119">
        <v>8226.5</v>
      </c>
      <c r="D138" s="119">
        <f>F138</f>
        <v>9676.4</v>
      </c>
      <c r="E138" s="136" t="s">
        <v>223</v>
      </c>
      <c r="F138" s="119">
        <v>9676.4</v>
      </c>
      <c r="G138" s="51" t="s">
        <v>219</v>
      </c>
      <c r="H138" s="51" t="s">
        <v>219</v>
      </c>
    </row>
    <row r="139" spans="1:8" s="5" customFormat="1" ht="20.100000000000001" customHeight="1">
      <c r="A139" s="30" t="s">
        <v>34</v>
      </c>
      <c r="B139" s="6">
        <v>10040</v>
      </c>
      <c r="C139" s="119">
        <v>3591.3</v>
      </c>
      <c r="D139" s="119">
        <f>F139</f>
        <v>6517.9</v>
      </c>
      <c r="E139" s="136" t="s">
        <v>223</v>
      </c>
      <c r="F139" s="98">
        <v>6517.9</v>
      </c>
      <c r="G139" s="51" t="s">
        <v>219</v>
      </c>
      <c r="H139" s="51" t="s">
        <v>219</v>
      </c>
    </row>
    <row r="140" spans="1:8" s="5" customFormat="1" ht="20.100000000000001" customHeight="1">
      <c r="A140" s="29" t="s">
        <v>48</v>
      </c>
      <c r="B140" s="6">
        <v>10050</v>
      </c>
      <c r="C140" s="118">
        <f>SUM(C138:C139)</f>
        <v>11817.8</v>
      </c>
      <c r="D140" s="118">
        <f>SUM(D138:D139)</f>
        <v>16194.3</v>
      </c>
      <c r="E140" s="118" t="s">
        <v>223</v>
      </c>
      <c r="F140" s="67">
        <f>SUM(F138:F139)</f>
        <v>16194.3</v>
      </c>
      <c r="G140" s="51" t="s">
        <v>219</v>
      </c>
      <c r="H140" s="51" t="s">
        <v>219</v>
      </c>
    </row>
    <row r="141" spans="1:8" s="5" customFormat="1" ht="20.100000000000001" customHeight="1">
      <c r="A141" s="30" t="s">
        <v>81</v>
      </c>
      <c r="B141" s="6">
        <v>10060</v>
      </c>
      <c r="C141" s="119"/>
      <c r="D141" s="98"/>
      <c r="E141" s="116" t="s">
        <v>223</v>
      </c>
      <c r="F141" s="98"/>
      <c r="G141" s="51" t="s">
        <v>219</v>
      </c>
      <c r="H141" s="51" t="s">
        <v>219</v>
      </c>
    </row>
    <row r="142" spans="1:8" s="5" customFormat="1">
      <c r="A142" s="30" t="s">
        <v>82</v>
      </c>
      <c r="B142" s="6">
        <v>10070</v>
      </c>
      <c r="C142" s="119"/>
      <c r="D142" s="98"/>
      <c r="E142" s="116" t="s">
        <v>223</v>
      </c>
      <c r="F142" s="119"/>
      <c r="G142" s="51" t="s">
        <v>219</v>
      </c>
      <c r="H142" s="51" t="s">
        <v>219</v>
      </c>
    </row>
    <row r="143" spans="1:8" s="5" customFormat="1" ht="20.100000000000001" customHeight="1" thickBot="1">
      <c r="A143" s="29" t="s">
        <v>31</v>
      </c>
      <c r="B143" s="6">
        <v>10080</v>
      </c>
      <c r="C143" s="118">
        <v>17257.8</v>
      </c>
      <c r="D143" s="118">
        <f>F143</f>
        <v>32335.899999999998</v>
      </c>
      <c r="E143" s="118" t="s">
        <v>223</v>
      </c>
      <c r="F143" s="118">
        <f>SUM(F137-F140)</f>
        <v>32335.899999999998</v>
      </c>
      <c r="G143" s="51" t="s">
        <v>219</v>
      </c>
      <c r="H143" s="51" t="s">
        <v>219</v>
      </c>
    </row>
    <row r="144" spans="1:8" s="5" customFormat="1" ht="19.5" thickBot="1">
      <c r="A144" s="172" t="s">
        <v>101</v>
      </c>
      <c r="B144" s="173"/>
      <c r="C144" s="173"/>
      <c r="D144" s="173"/>
      <c r="E144" s="173"/>
      <c r="F144" s="173"/>
      <c r="G144" s="173"/>
      <c r="H144" s="174"/>
    </row>
    <row r="145" spans="1:8" s="5" customFormat="1" ht="20.100000000000001" customHeight="1">
      <c r="A145" s="35" t="s">
        <v>70</v>
      </c>
      <c r="B145" s="41" t="s">
        <v>157</v>
      </c>
      <c r="C145" s="107"/>
      <c r="D145" s="107"/>
      <c r="E145" s="124"/>
      <c r="F145" s="124"/>
      <c r="G145" s="107">
        <f>F145-E145</f>
        <v>0</v>
      </c>
      <c r="H145" s="51" t="s">
        <v>219</v>
      </c>
    </row>
    <row r="146" spans="1:8" s="5" customFormat="1" ht="20.100000000000001" customHeight="1">
      <c r="A146" s="30" t="s">
        <v>83</v>
      </c>
      <c r="B146" s="42" t="s">
        <v>158</v>
      </c>
      <c r="C146" s="31"/>
      <c r="D146" s="31"/>
      <c r="E146" s="125"/>
      <c r="F146" s="125"/>
      <c r="G146" s="107">
        <f t="shared" ref="G146:G152" si="8">F146-E146</f>
        <v>0</v>
      </c>
      <c r="H146" s="51" t="s">
        <v>219</v>
      </c>
    </row>
    <row r="147" spans="1:8" s="5" customFormat="1" ht="20.100000000000001" customHeight="1">
      <c r="A147" s="30" t="s">
        <v>84</v>
      </c>
      <c r="B147" s="42" t="s">
        <v>159</v>
      </c>
      <c r="C147" s="31"/>
      <c r="D147" s="31"/>
      <c r="E147" s="125"/>
      <c r="F147" s="125"/>
      <c r="G147" s="107">
        <f t="shared" si="8"/>
        <v>0</v>
      </c>
      <c r="H147" s="51" t="s">
        <v>219</v>
      </c>
    </row>
    <row r="148" spans="1:8" s="5" customFormat="1" ht="20.100000000000001" customHeight="1">
      <c r="A148" s="30" t="s">
        <v>85</v>
      </c>
      <c r="B148" s="42" t="s">
        <v>160</v>
      </c>
      <c r="C148" s="31"/>
      <c r="D148" s="31"/>
      <c r="E148" s="125"/>
      <c r="F148" s="125"/>
      <c r="G148" s="107">
        <f t="shared" si="8"/>
        <v>0</v>
      </c>
      <c r="H148" s="51" t="s">
        <v>219</v>
      </c>
    </row>
    <row r="149" spans="1:8" s="5" customFormat="1" ht="20.100000000000001" customHeight="1">
      <c r="A149" s="29" t="s">
        <v>71</v>
      </c>
      <c r="B149" s="42" t="s">
        <v>161</v>
      </c>
      <c r="C149" s="144"/>
      <c r="D149" s="144"/>
      <c r="E149" s="126"/>
      <c r="F149" s="126"/>
      <c r="G149" s="107">
        <f t="shared" si="8"/>
        <v>0</v>
      </c>
      <c r="H149" s="51" t="s">
        <v>219</v>
      </c>
    </row>
    <row r="150" spans="1:8" s="5" customFormat="1" ht="20.100000000000001" customHeight="1">
      <c r="A150" s="30" t="s">
        <v>83</v>
      </c>
      <c r="B150" s="42" t="s">
        <v>162</v>
      </c>
      <c r="C150" s="31"/>
      <c r="D150" s="31"/>
      <c r="E150" s="125"/>
      <c r="F150" s="125"/>
      <c r="G150" s="107">
        <f t="shared" si="8"/>
        <v>0</v>
      </c>
      <c r="H150" s="51" t="s">
        <v>219</v>
      </c>
    </row>
    <row r="151" spans="1:8" s="5" customFormat="1" ht="20.100000000000001" customHeight="1">
      <c r="A151" s="30" t="s">
        <v>84</v>
      </c>
      <c r="B151" s="42" t="s">
        <v>163</v>
      </c>
      <c r="C151" s="31"/>
      <c r="D151" s="31"/>
      <c r="E151" s="125"/>
      <c r="F151" s="125"/>
      <c r="G151" s="107">
        <f t="shared" si="8"/>
        <v>0</v>
      </c>
      <c r="H151" s="51" t="s">
        <v>219</v>
      </c>
    </row>
    <row r="152" spans="1:8" s="5" customFormat="1" ht="20.100000000000001" customHeight="1" thickBot="1">
      <c r="A152" s="39" t="s">
        <v>85</v>
      </c>
      <c r="B152" s="43" t="s">
        <v>164</v>
      </c>
      <c r="C152" s="31"/>
      <c r="D152" s="31"/>
      <c r="E152" s="125"/>
      <c r="F152" s="125"/>
      <c r="G152" s="107">
        <f t="shared" si="8"/>
        <v>0</v>
      </c>
      <c r="H152" s="51" t="s">
        <v>219</v>
      </c>
    </row>
    <row r="153" spans="1:8" s="5" customFormat="1" ht="19.5" thickBot="1">
      <c r="A153" s="169" t="s">
        <v>102</v>
      </c>
      <c r="B153" s="170"/>
      <c r="C153" s="170"/>
      <c r="D153" s="170"/>
      <c r="E153" s="170"/>
      <c r="F153" s="170"/>
      <c r="G153" s="170"/>
      <c r="H153" s="171"/>
    </row>
    <row r="154" spans="1:8" s="5" customFormat="1" ht="60.75" customHeight="1">
      <c r="A154" s="29" t="s">
        <v>226</v>
      </c>
      <c r="B154" s="42" t="s">
        <v>177</v>
      </c>
      <c r="C154" s="135">
        <f>SUM(C155:C160)</f>
        <v>132</v>
      </c>
      <c r="D154" s="135">
        <f>SUM(D155:D160)</f>
        <v>135</v>
      </c>
      <c r="E154" s="135">
        <f>E155+E156+E157+E158+E159+E160</f>
        <v>134</v>
      </c>
      <c r="F154" s="135">
        <f>SUM(F155:F160)</f>
        <v>134</v>
      </c>
      <c r="G154" s="135">
        <f>F154-E154</f>
        <v>0</v>
      </c>
      <c r="H154" s="133">
        <f>(F154/E154)*100</f>
        <v>100</v>
      </c>
    </row>
    <row r="155" spans="1:8" s="5" customFormat="1">
      <c r="A155" s="8" t="s">
        <v>53</v>
      </c>
      <c r="B155" s="42" t="s">
        <v>178</v>
      </c>
      <c r="C155" s="143">
        <v>1</v>
      </c>
      <c r="D155" s="143">
        <v>1</v>
      </c>
      <c r="E155" s="151">
        <v>1</v>
      </c>
      <c r="F155" s="143">
        <v>1</v>
      </c>
      <c r="G155" s="33">
        <f t="shared" ref="G155:G182" si="9">F155-E155</f>
        <v>0</v>
      </c>
      <c r="H155" s="51">
        <f t="shared" ref="H155:H181" si="10">(F155/E155)*100</f>
        <v>100</v>
      </c>
    </row>
    <row r="156" spans="1:8" s="5" customFormat="1">
      <c r="A156" s="8" t="s">
        <v>52</v>
      </c>
      <c r="B156" s="42" t="s">
        <v>179</v>
      </c>
      <c r="C156" s="143">
        <v>12</v>
      </c>
      <c r="D156" s="143">
        <v>12</v>
      </c>
      <c r="E156" s="151">
        <v>11</v>
      </c>
      <c r="F156" s="143">
        <v>11</v>
      </c>
      <c r="G156" s="33">
        <f t="shared" si="9"/>
        <v>0</v>
      </c>
      <c r="H156" s="51">
        <f t="shared" si="10"/>
        <v>100</v>
      </c>
    </row>
    <row r="157" spans="1:8" s="5" customFormat="1">
      <c r="A157" s="8" t="s">
        <v>165</v>
      </c>
      <c r="B157" s="42" t="s">
        <v>180</v>
      </c>
      <c r="C157" s="143">
        <v>18</v>
      </c>
      <c r="D157" s="143">
        <v>23</v>
      </c>
      <c r="E157" s="151">
        <v>23</v>
      </c>
      <c r="F157" s="143">
        <v>23</v>
      </c>
      <c r="G157" s="33">
        <f t="shared" si="9"/>
        <v>0</v>
      </c>
      <c r="H157" s="51">
        <f t="shared" si="10"/>
        <v>100</v>
      </c>
    </row>
    <row r="158" spans="1:8" s="5" customFormat="1">
      <c r="A158" s="8" t="s">
        <v>166</v>
      </c>
      <c r="B158" s="42" t="s">
        <v>181</v>
      </c>
      <c r="C158" s="143">
        <v>42</v>
      </c>
      <c r="D158" s="143">
        <v>43</v>
      </c>
      <c r="E158" s="151">
        <v>43</v>
      </c>
      <c r="F158" s="143">
        <v>43</v>
      </c>
      <c r="G158" s="33">
        <f t="shared" si="9"/>
        <v>0</v>
      </c>
      <c r="H158" s="51">
        <f t="shared" si="10"/>
        <v>100</v>
      </c>
    </row>
    <row r="159" spans="1:8" s="5" customFormat="1">
      <c r="A159" s="8" t="s">
        <v>167</v>
      </c>
      <c r="B159" s="42" t="s">
        <v>182</v>
      </c>
      <c r="C159" s="143">
        <v>19</v>
      </c>
      <c r="D159" s="143">
        <v>18</v>
      </c>
      <c r="E159" s="151">
        <v>18</v>
      </c>
      <c r="F159" s="143">
        <v>18</v>
      </c>
      <c r="G159" s="33">
        <f t="shared" si="9"/>
        <v>0</v>
      </c>
      <c r="H159" s="51">
        <f t="shared" si="10"/>
        <v>100</v>
      </c>
    </row>
    <row r="160" spans="1:8" s="5" customFormat="1">
      <c r="A160" s="8" t="s">
        <v>168</v>
      </c>
      <c r="B160" s="42" t="s">
        <v>183</v>
      </c>
      <c r="C160" s="143">
        <v>40</v>
      </c>
      <c r="D160" s="143">
        <v>38</v>
      </c>
      <c r="E160" s="151">
        <v>38</v>
      </c>
      <c r="F160" s="143">
        <v>38</v>
      </c>
      <c r="G160" s="33">
        <f t="shared" si="9"/>
        <v>0</v>
      </c>
      <c r="H160" s="51">
        <f t="shared" si="10"/>
        <v>100</v>
      </c>
    </row>
    <row r="161" spans="1:8" s="5" customFormat="1">
      <c r="A161" s="9" t="s">
        <v>169</v>
      </c>
      <c r="B161" s="42" t="s">
        <v>170</v>
      </c>
      <c r="C161" s="132">
        <f>SUM(C162:C167)</f>
        <v>22005.599999999999</v>
      </c>
      <c r="D161" s="132">
        <f>SUM(D162:D167)</f>
        <v>26132.300000000003</v>
      </c>
      <c r="E161" s="135">
        <f>E162+E163+E164+E166+E165+E167</f>
        <v>7150</v>
      </c>
      <c r="F161" s="132">
        <f>SUM(F162:F167)</f>
        <v>7147.5000000000009</v>
      </c>
      <c r="G161" s="132">
        <f t="shared" si="9"/>
        <v>-2.4999999999990905</v>
      </c>
      <c r="H161" s="133">
        <f t="shared" si="10"/>
        <v>99.965034965034988</v>
      </c>
    </row>
    <row r="162" spans="1:8" s="5" customFormat="1">
      <c r="A162" s="8" t="s">
        <v>53</v>
      </c>
      <c r="B162" s="42" t="s">
        <v>171</v>
      </c>
      <c r="C162" s="142">
        <v>611.1</v>
      </c>
      <c r="D162" s="142">
        <f>169.1+176.1+171.6+212.5</f>
        <v>729.3</v>
      </c>
      <c r="E162" s="140">
        <v>213</v>
      </c>
      <c r="F162" s="142">
        <v>212.5</v>
      </c>
      <c r="G162" s="33">
        <f t="shared" si="9"/>
        <v>-0.5</v>
      </c>
      <c r="H162" s="51">
        <f t="shared" si="10"/>
        <v>99.765258215962433</v>
      </c>
    </row>
    <row r="163" spans="1:8" s="5" customFormat="1">
      <c r="A163" s="8" t="s">
        <v>52</v>
      </c>
      <c r="B163" s="42" t="s">
        <v>172</v>
      </c>
      <c r="C163" s="142">
        <v>3596.1</v>
      </c>
      <c r="D163" s="142">
        <f>889.9+997.8+1036.7+1082.1</f>
        <v>4006.4999999999995</v>
      </c>
      <c r="E163" s="140">
        <v>1083</v>
      </c>
      <c r="F163" s="142">
        <v>1082.0999999999999</v>
      </c>
      <c r="G163" s="33">
        <f t="shared" si="9"/>
        <v>-0.90000000000009095</v>
      </c>
      <c r="H163" s="51">
        <f t="shared" si="10"/>
        <v>99.916897506925196</v>
      </c>
    </row>
    <row r="164" spans="1:8" s="5" customFormat="1">
      <c r="A164" s="8" t="s">
        <v>165</v>
      </c>
      <c r="B164" s="42" t="s">
        <v>173</v>
      </c>
      <c r="C164" s="142">
        <v>4477.5</v>
      </c>
      <c r="D164" s="142">
        <f>1237.2+1570+1659.9+1729.9</f>
        <v>6197</v>
      </c>
      <c r="E164" s="140">
        <v>1728</v>
      </c>
      <c r="F164" s="142">
        <v>1729.9</v>
      </c>
      <c r="G164" s="33">
        <f t="shared" si="9"/>
        <v>1.9000000000000909</v>
      </c>
      <c r="H164" s="51">
        <f t="shared" si="10"/>
        <v>100.1099537037037</v>
      </c>
    </row>
    <row r="165" spans="1:8" s="5" customFormat="1">
      <c r="A165" s="8" t="s">
        <v>166</v>
      </c>
      <c r="B165" s="42" t="s">
        <v>174</v>
      </c>
      <c r="C165" s="142">
        <v>7450.3</v>
      </c>
      <c r="D165" s="142">
        <f>1823.7+2159.8+2169.5+2285.6</f>
        <v>8438.6</v>
      </c>
      <c r="E165" s="140">
        <v>2287</v>
      </c>
      <c r="F165" s="142">
        <v>2285.6</v>
      </c>
      <c r="G165" s="33">
        <f t="shared" si="9"/>
        <v>-1.4000000000000909</v>
      </c>
      <c r="H165" s="51">
        <f t="shared" si="10"/>
        <v>99.938784433756013</v>
      </c>
    </row>
    <row r="166" spans="1:8" s="5" customFormat="1">
      <c r="A166" s="8" t="s">
        <v>167</v>
      </c>
      <c r="B166" s="42" t="s">
        <v>175</v>
      </c>
      <c r="C166" s="142">
        <v>1738.2</v>
      </c>
      <c r="D166" s="142">
        <f>441.9+485.9+466.9+501.6</f>
        <v>1896.2999999999997</v>
      </c>
      <c r="E166" s="140">
        <v>502</v>
      </c>
      <c r="F166" s="142">
        <v>501.6</v>
      </c>
      <c r="G166" s="33">
        <f t="shared" si="9"/>
        <v>-0.39999999999997726</v>
      </c>
      <c r="H166" s="51">
        <f t="shared" si="10"/>
        <v>99.920318725099605</v>
      </c>
    </row>
    <row r="167" spans="1:8" s="5" customFormat="1">
      <c r="A167" s="8" t="s">
        <v>168</v>
      </c>
      <c r="B167" s="42" t="s">
        <v>176</v>
      </c>
      <c r="C167" s="142">
        <v>4132.3999999999996</v>
      </c>
      <c r="D167" s="142">
        <f>1042.2+1215.7+1270.9+1335.8</f>
        <v>4864.6000000000004</v>
      </c>
      <c r="E167" s="140">
        <v>1337</v>
      </c>
      <c r="F167" s="142">
        <v>1335.8</v>
      </c>
      <c r="G167" s="33">
        <f t="shared" si="9"/>
        <v>-1.2000000000000455</v>
      </c>
      <c r="H167" s="51">
        <f t="shared" si="10"/>
        <v>99.910246821241572</v>
      </c>
    </row>
    <row r="168" spans="1:8" s="5" customFormat="1" ht="20.100000000000001" customHeight="1">
      <c r="A168" s="29" t="s">
        <v>3</v>
      </c>
      <c r="B168" s="42" t="s">
        <v>190</v>
      </c>
      <c r="C168" s="132">
        <f>SUM(C169:C174)</f>
        <v>22005.599999999999</v>
      </c>
      <c r="D168" s="132">
        <f>SUM(D169:D174)</f>
        <v>26132.300000000003</v>
      </c>
      <c r="E168" s="135">
        <f>E169+E170+E171+E172+E173+E174</f>
        <v>7150</v>
      </c>
      <c r="F168" s="132">
        <f>SUM(F169:F174)</f>
        <v>7147.5000000000009</v>
      </c>
      <c r="G168" s="132">
        <f t="shared" si="9"/>
        <v>-2.4999999999990905</v>
      </c>
      <c r="H168" s="133">
        <f t="shared" si="10"/>
        <v>99.965034965034988</v>
      </c>
    </row>
    <row r="169" spans="1:8" s="5" customFormat="1" ht="20.100000000000001" customHeight="1">
      <c r="A169" s="8" t="s">
        <v>53</v>
      </c>
      <c r="B169" s="42" t="s">
        <v>184</v>
      </c>
      <c r="C169" s="142">
        <v>611.1</v>
      </c>
      <c r="D169" s="142">
        <f>169.1+176.1+171.6+212.5</f>
        <v>729.3</v>
      </c>
      <c r="E169" s="140">
        <v>213</v>
      </c>
      <c r="F169" s="142">
        <v>212.5</v>
      </c>
      <c r="G169" s="33">
        <f t="shared" si="9"/>
        <v>-0.5</v>
      </c>
      <c r="H169" s="51">
        <f t="shared" si="10"/>
        <v>99.765258215962433</v>
      </c>
    </row>
    <row r="170" spans="1:8" s="5" customFormat="1" ht="20.100000000000001" customHeight="1">
      <c r="A170" s="8" t="s">
        <v>52</v>
      </c>
      <c r="B170" s="42" t="s">
        <v>185</v>
      </c>
      <c r="C170" s="142">
        <v>3596.1</v>
      </c>
      <c r="D170" s="142">
        <f>889.9+997.8+1036.7+1082.1</f>
        <v>4006.4999999999995</v>
      </c>
      <c r="E170" s="140">
        <v>1083</v>
      </c>
      <c r="F170" s="142">
        <v>1082.0999999999999</v>
      </c>
      <c r="G170" s="33">
        <f t="shared" si="9"/>
        <v>-0.90000000000009095</v>
      </c>
      <c r="H170" s="51">
        <f t="shared" si="10"/>
        <v>99.916897506925196</v>
      </c>
    </row>
    <row r="171" spans="1:8" s="5" customFormat="1" ht="20.100000000000001" customHeight="1">
      <c r="A171" s="8" t="s">
        <v>165</v>
      </c>
      <c r="B171" s="42" t="s">
        <v>186</v>
      </c>
      <c r="C171" s="142">
        <v>4477.5</v>
      </c>
      <c r="D171" s="142">
        <f>1237.2+1570+1659.9+1729.9</f>
        <v>6197</v>
      </c>
      <c r="E171" s="140">
        <v>1728</v>
      </c>
      <c r="F171" s="142">
        <v>1729.9</v>
      </c>
      <c r="G171" s="33">
        <f t="shared" si="9"/>
        <v>1.9000000000000909</v>
      </c>
      <c r="H171" s="51">
        <f t="shared" si="10"/>
        <v>100.1099537037037</v>
      </c>
    </row>
    <row r="172" spans="1:8" s="5" customFormat="1" ht="20.100000000000001" customHeight="1">
      <c r="A172" s="8" t="s">
        <v>166</v>
      </c>
      <c r="B172" s="42" t="s">
        <v>187</v>
      </c>
      <c r="C172" s="142">
        <v>7450.3</v>
      </c>
      <c r="D172" s="142">
        <f>1823.7+2159.8+2169.5+2285.6</f>
        <v>8438.6</v>
      </c>
      <c r="E172" s="140">
        <v>2287</v>
      </c>
      <c r="F172" s="142">
        <v>2285.6</v>
      </c>
      <c r="G172" s="33">
        <f t="shared" si="9"/>
        <v>-1.4000000000000909</v>
      </c>
      <c r="H172" s="51">
        <f t="shared" si="10"/>
        <v>99.938784433756013</v>
      </c>
    </row>
    <row r="173" spans="1:8" s="5" customFormat="1" ht="20.100000000000001" customHeight="1">
      <c r="A173" s="8" t="s">
        <v>167</v>
      </c>
      <c r="B173" s="42" t="s">
        <v>188</v>
      </c>
      <c r="C173" s="142">
        <v>1738.2</v>
      </c>
      <c r="D173" s="142">
        <f>441.9+485.9+466.9+501.6</f>
        <v>1896.2999999999997</v>
      </c>
      <c r="E173" s="140">
        <v>502</v>
      </c>
      <c r="F173" s="142">
        <v>501.6</v>
      </c>
      <c r="G173" s="33">
        <f t="shared" si="9"/>
        <v>-0.39999999999997726</v>
      </c>
      <c r="H173" s="51">
        <f t="shared" si="10"/>
        <v>99.920318725099605</v>
      </c>
    </row>
    <row r="174" spans="1:8" s="5" customFormat="1" ht="20.100000000000001" customHeight="1">
      <c r="A174" s="8" t="s">
        <v>168</v>
      </c>
      <c r="B174" s="42" t="s">
        <v>189</v>
      </c>
      <c r="C174" s="142">
        <v>4132.3999999999996</v>
      </c>
      <c r="D174" s="142">
        <f>1042.2+1215.7+1270.9+1335.8</f>
        <v>4864.6000000000004</v>
      </c>
      <c r="E174" s="140">
        <v>1337</v>
      </c>
      <c r="F174" s="142">
        <v>1335.8</v>
      </c>
      <c r="G174" s="33">
        <f t="shared" si="9"/>
        <v>-1.2000000000000455</v>
      </c>
      <c r="H174" s="51">
        <f t="shared" si="10"/>
        <v>99.910246821241572</v>
      </c>
    </row>
    <row r="175" spans="1:8" s="5" customFormat="1" ht="37.5">
      <c r="A175" s="29" t="s">
        <v>57</v>
      </c>
      <c r="B175" s="42" t="s">
        <v>199</v>
      </c>
      <c r="C175" s="134">
        <f>C168/C154*1000/12</f>
        <v>13892.42424242424</v>
      </c>
      <c r="D175" s="152">
        <f>D168/D154*1000/9</f>
        <v>21508.065843621403</v>
      </c>
      <c r="E175" s="158">
        <f>E168/E154/3*1000</f>
        <v>17786.069651741294</v>
      </c>
      <c r="F175" s="152">
        <f>F168/F154*1000/3</f>
        <v>17779.850746268658</v>
      </c>
      <c r="G175" s="135">
        <f t="shared" si="9"/>
        <v>-6.218905472636834</v>
      </c>
      <c r="H175" s="133">
        <f t="shared" si="10"/>
        <v>99.96503496503496</v>
      </c>
    </row>
    <row r="176" spans="1:8" s="5" customFormat="1" ht="20.100000000000001" customHeight="1">
      <c r="A176" s="8" t="s">
        <v>53</v>
      </c>
      <c r="B176" s="42" t="s">
        <v>191</v>
      </c>
      <c r="C176" s="127">
        <f t="shared" ref="C176:C181" si="11">C169/C155/12*1000</f>
        <v>50925.000000000007</v>
      </c>
      <c r="D176" s="34">
        <f t="shared" ref="D176:D181" si="12">D169/D155*1000/9</f>
        <v>81033.333333333328</v>
      </c>
      <c r="E176" s="140">
        <f t="shared" ref="E176:E181" si="13">E169/E155/3*1000</f>
        <v>71000</v>
      </c>
      <c r="F176" s="120">
        <f t="shared" ref="F176:F181" si="14">F169/F155/3*1000</f>
        <v>70833.333333333328</v>
      </c>
      <c r="G176" s="33">
        <f t="shared" si="9"/>
        <v>-166.66666666667152</v>
      </c>
      <c r="H176" s="51">
        <f t="shared" si="10"/>
        <v>99.765258215962433</v>
      </c>
    </row>
    <row r="177" spans="1:9" s="5" customFormat="1" ht="20.100000000000001" customHeight="1">
      <c r="A177" s="8" t="s">
        <v>52</v>
      </c>
      <c r="B177" s="42" t="s">
        <v>192</v>
      </c>
      <c r="C177" s="127">
        <f t="shared" si="11"/>
        <v>24972.916666666668</v>
      </c>
      <c r="D177" s="34">
        <f t="shared" si="12"/>
        <v>37097.222222222219</v>
      </c>
      <c r="E177" s="140">
        <f t="shared" si="13"/>
        <v>32818.181818181823</v>
      </c>
      <c r="F177" s="120">
        <f t="shared" si="14"/>
        <v>32790.909090909088</v>
      </c>
      <c r="G177" s="33">
        <f t="shared" si="9"/>
        <v>-27.27272727273521</v>
      </c>
      <c r="H177" s="51">
        <f t="shared" si="10"/>
        <v>99.916897506925181</v>
      </c>
    </row>
    <row r="178" spans="1:9" s="5" customFormat="1" ht="20.100000000000001" customHeight="1">
      <c r="A178" s="8" t="s">
        <v>165</v>
      </c>
      <c r="B178" s="42" t="s">
        <v>193</v>
      </c>
      <c r="C178" s="127">
        <f t="shared" si="11"/>
        <v>20729.166666666668</v>
      </c>
      <c r="D178" s="34">
        <f t="shared" si="12"/>
        <v>29937.198067632846</v>
      </c>
      <c r="E178" s="140">
        <f t="shared" si="13"/>
        <v>25043.478260869568</v>
      </c>
      <c r="F178" s="120">
        <f t="shared" si="14"/>
        <v>25071.014492753624</v>
      </c>
      <c r="G178" s="33">
        <f t="shared" si="9"/>
        <v>27.536231884056178</v>
      </c>
      <c r="H178" s="51">
        <f t="shared" si="10"/>
        <v>100.1099537037037</v>
      </c>
    </row>
    <row r="179" spans="1:9" s="5" customFormat="1" ht="20.100000000000001" customHeight="1">
      <c r="A179" s="8" t="s">
        <v>166</v>
      </c>
      <c r="B179" s="42" t="s">
        <v>194</v>
      </c>
      <c r="C179" s="127">
        <f t="shared" si="11"/>
        <v>14782.34126984127</v>
      </c>
      <c r="D179" s="34">
        <f t="shared" si="12"/>
        <v>21805.167958656333</v>
      </c>
      <c r="E179" s="140">
        <f t="shared" si="13"/>
        <v>17728.682170542637</v>
      </c>
      <c r="F179" s="120">
        <f t="shared" si="14"/>
        <v>17717.829457364343</v>
      </c>
      <c r="G179" s="33">
        <f t="shared" si="9"/>
        <v>-10.852713178293925</v>
      </c>
      <c r="H179" s="51">
        <f t="shared" si="10"/>
        <v>99.938784433756013</v>
      </c>
    </row>
    <row r="180" spans="1:9" s="5" customFormat="1" ht="20.100000000000001" customHeight="1">
      <c r="A180" s="8" t="s">
        <v>167</v>
      </c>
      <c r="B180" s="42" t="s">
        <v>195</v>
      </c>
      <c r="C180" s="127">
        <f t="shared" si="11"/>
        <v>7623.6842105263158</v>
      </c>
      <c r="D180" s="34">
        <f t="shared" si="12"/>
        <v>11705.555555555555</v>
      </c>
      <c r="E180" s="140">
        <f t="shared" si="13"/>
        <v>9296.2962962962956</v>
      </c>
      <c r="F180" s="120">
        <f t="shared" si="14"/>
        <v>9288.8888888888905</v>
      </c>
      <c r="G180" s="33">
        <f t="shared" si="9"/>
        <v>-7.4074074074051168</v>
      </c>
      <c r="H180" s="51">
        <f t="shared" si="10"/>
        <v>99.920318725099619</v>
      </c>
    </row>
    <row r="181" spans="1:9" s="5" customFormat="1" ht="20.100000000000001" customHeight="1">
      <c r="A181" s="8" t="s">
        <v>168</v>
      </c>
      <c r="B181" s="42" t="s">
        <v>196</v>
      </c>
      <c r="C181" s="127">
        <f t="shared" si="11"/>
        <v>8609.1666666666642</v>
      </c>
      <c r="D181" s="34">
        <f t="shared" si="12"/>
        <v>14223.976608187135</v>
      </c>
      <c r="E181" s="140">
        <f t="shared" si="13"/>
        <v>11728.070175438595</v>
      </c>
      <c r="F181" s="120">
        <f t="shared" si="14"/>
        <v>11717.54385964912</v>
      </c>
      <c r="G181" s="33">
        <f t="shared" si="9"/>
        <v>-10.52631578947512</v>
      </c>
      <c r="H181" s="51">
        <f t="shared" si="10"/>
        <v>99.910246821241572</v>
      </c>
    </row>
    <row r="182" spans="1:9" s="5" customFormat="1" ht="36.6" customHeight="1">
      <c r="A182" s="8" t="s">
        <v>197</v>
      </c>
      <c r="B182" s="42" t="s">
        <v>198</v>
      </c>
      <c r="C182" s="34"/>
      <c r="D182" s="31"/>
      <c r="E182" s="120"/>
      <c r="F182" s="120"/>
      <c r="G182" s="33">
        <f t="shared" si="9"/>
        <v>0</v>
      </c>
      <c r="H182" s="51" t="s">
        <v>219</v>
      </c>
    </row>
    <row r="183" spans="1:9" s="5" customFormat="1" ht="20.100000000000001" customHeight="1">
      <c r="A183" s="16"/>
      <c r="B183" s="46"/>
      <c r="C183" s="47"/>
      <c r="D183" s="47"/>
      <c r="E183" s="128"/>
      <c r="F183" s="128"/>
      <c r="G183" s="48"/>
      <c r="H183" s="49"/>
    </row>
    <row r="184" spans="1:9" s="5" customFormat="1" ht="20.100000000000001" customHeight="1">
      <c r="A184" s="16"/>
      <c r="B184" s="46"/>
      <c r="C184" s="47"/>
      <c r="D184" s="47"/>
      <c r="E184" s="128"/>
      <c r="F184" s="128"/>
      <c r="G184" s="48"/>
      <c r="H184" s="49"/>
    </row>
    <row r="185" spans="1:9">
      <c r="A185" s="21"/>
    </row>
    <row r="186" spans="1:9" ht="18" customHeight="1">
      <c r="A186" s="148" t="s">
        <v>232</v>
      </c>
      <c r="B186" s="1"/>
      <c r="C186" s="167" t="s">
        <v>25</v>
      </c>
      <c r="D186" s="167"/>
      <c r="E186" s="167"/>
      <c r="F186" s="167"/>
      <c r="G186" s="166" t="s">
        <v>233</v>
      </c>
      <c r="H186" s="166"/>
    </row>
    <row r="187" spans="1:9" s="2" customFormat="1" ht="20.100000000000001" customHeight="1">
      <c r="A187" s="25" t="s">
        <v>69</v>
      </c>
      <c r="B187" s="3"/>
      <c r="C187" s="168" t="s">
        <v>20</v>
      </c>
      <c r="D187" s="168"/>
      <c r="E187" s="168"/>
      <c r="F187" s="168"/>
      <c r="G187" s="165" t="s">
        <v>23</v>
      </c>
      <c r="H187" s="165"/>
      <c r="I187" s="4"/>
    </row>
    <row r="188" spans="1:9">
      <c r="A188" s="21"/>
    </row>
    <row r="189" spans="1:9">
      <c r="A189" s="21"/>
    </row>
    <row r="190" spans="1:9">
      <c r="A190" s="21"/>
    </row>
    <row r="191" spans="1:9">
      <c r="A191" s="21"/>
    </row>
    <row r="192" spans="1:9">
      <c r="A192" s="21"/>
    </row>
    <row r="193" spans="1:1">
      <c r="A193" s="21"/>
    </row>
    <row r="194" spans="1:1">
      <c r="A194" s="21"/>
    </row>
    <row r="195" spans="1:1">
      <c r="A195" s="21"/>
    </row>
    <row r="196" spans="1:1">
      <c r="A196" s="21"/>
    </row>
    <row r="197" spans="1:1">
      <c r="A197" s="21"/>
    </row>
    <row r="198" spans="1:1">
      <c r="A198" s="21"/>
    </row>
    <row r="199" spans="1:1">
      <c r="A199" s="21"/>
    </row>
    <row r="200" spans="1:1">
      <c r="A200" s="21"/>
    </row>
    <row r="201" spans="1:1">
      <c r="A201" s="21"/>
    </row>
    <row r="202" spans="1:1">
      <c r="A202" s="21"/>
    </row>
    <row r="203" spans="1:1">
      <c r="A203" s="21"/>
    </row>
    <row r="204" spans="1:1">
      <c r="A204" s="21"/>
    </row>
    <row r="205" spans="1:1">
      <c r="A205" s="21"/>
    </row>
    <row r="206" spans="1:1">
      <c r="A206" s="21"/>
    </row>
    <row r="207" spans="1:1">
      <c r="A207" s="21"/>
    </row>
    <row r="208" spans="1:1">
      <c r="A208" s="21"/>
    </row>
    <row r="209" spans="1:1">
      <c r="A209" s="21"/>
    </row>
    <row r="210" spans="1:1">
      <c r="A210" s="21"/>
    </row>
    <row r="211" spans="1:1">
      <c r="A211" s="21"/>
    </row>
    <row r="212" spans="1:1">
      <c r="A212" s="21"/>
    </row>
    <row r="213" spans="1:1">
      <c r="A213" s="21"/>
    </row>
    <row r="214" spans="1:1">
      <c r="A214" s="21"/>
    </row>
    <row r="215" spans="1:1">
      <c r="A215" s="21"/>
    </row>
    <row r="216" spans="1:1">
      <c r="A216" s="21"/>
    </row>
    <row r="217" spans="1:1">
      <c r="A217" s="21"/>
    </row>
    <row r="218" spans="1:1">
      <c r="A218" s="21"/>
    </row>
    <row r="219" spans="1:1">
      <c r="A219" s="21"/>
    </row>
    <row r="220" spans="1:1">
      <c r="A220" s="21"/>
    </row>
    <row r="221" spans="1:1">
      <c r="A221" s="21"/>
    </row>
    <row r="222" spans="1:1">
      <c r="A222" s="21"/>
    </row>
    <row r="223" spans="1:1">
      <c r="A223" s="21"/>
    </row>
    <row r="224" spans="1:1">
      <c r="A224" s="21"/>
    </row>
    <row r="225" spans="1:1">
      <c r="A225" s="21"/>
    </row>
    <row r="226" spans="1:1">
      <c r="A226" s="21"/>
    </row>
    <row r="227" spans="1:1">
      <c r="A227" s="21"/>
    </row>
    <row r="228" spans="1:1">
      <c r="A228" s="21"/>
    </row>
    <row r="229" spans="1:1">
      <c r="A229" s="21"/>
    </row>
    <row r="230" spans="1:1">
      <c r="A230" s="21"/>
    </row>
    <row r="231" spans="1:1">
      <c r="A231" s="21"/>
    </row>
    <row r="232" spans="1:1">
      <c r="A232" s="21"/>
    </row>
    <row r="233" spans="1:1">
      <c r="A233" s="21"/>
    </row>
    <row r="234" spans="1:1">
      <c r="A234" s="21"/>
    </row>
    <row r="235" spans="1:1">
      <c r="A235" s="21"/>
    </row>
    <row r="236" spans="1:1">
      <c r="A236" s="21"/>
    </row>
    <row r="237" spans="1:1">
      <c r="A237" s="21"/>
    </row>
    <row r="238" spans="1:1">
      <c r="A238" s="21"/>
    </row>
    <row r="239" spans="1:1">
      <c r="A239" s="21"/>
    </row>
    <row r="240" spans="1:1">
      <c r="A240" s="21"/>
    </row>
    <row r="241" spans="1:1">
      <c r="A241" s="21"/>
    </row>
    <row r="242" spans="1:1">
      <c r="A242" s="21"/>
    </row>
    <row r="243" spans="1:1">
      <c r="A243" s="21"/>
    </row>
    <row r="244" spans="1:1">
      <c r="A244" s="21"/>
    </row>
    <row r="245" spans="1:1">
      <c r="A245" s="21"/>
    </row>
    <row r="246" spans="1:1">
      <c r="A246" s="21"/>
    </row>
    <row r="247" spans="1:1">
      <c r="A247" s="21"/>
    </row>
    <row r="248" spans="1:1">
      <c r="A248" s="21"/>
    </row>
    <row r="249" spans="1:1">
      <c r="A249" s="21"/>
    </row>
    <row r="250" spans="1:1">
      <c r="A250" s="21"/>
    </row>
    <row r="251" spans="1:1">
      <c r="A251" s="21"/>
    </row>
    <row r="252" spans="1:1">
      <c r="A252" s="21"/>
    </row>
    <row r="253" spans="1:1">
      <c r="A253" s="21"/>
    </row>
    <row r="254" spans="1:1">
      <c r="A254" s="21"/>
    </row>
    <row r="255" spans="1:1">
      <c r="A255" s="21"/>
    </row>
    <row r="256" spans="1:1">
      <c r="A256" s="21"/>
    </row>
    <row r="257" spans="1:1">
      <c r="A257" s="21"/>
    </row>
    <row r="258" spans="1:1">
      <c r="A258" s="21"/>
    </row>
    <row r="259" spans="1:1">
      <c r="A259" s="21"/>
    </row>
    <row r="260" spans="1:1">
      <c r="A260" s="21"/>
    </row>
    <row r="261" spans="1:1">
      <c r="A261" s="21"/>
    </row>
    <row r="262" spans="1:1">
      <c r="A262" s="21"/>
    </row>
    <row r="263" spans="1:1">
      <c r="A263" s="21"/>
    </row>
    <row r="264" spans="1:1">
      <c r="A264" s="21"/>
    </row>
    <row r="265" spans="1:1">
      <c r="A265" s="21"/>
    </row>
    <row r="266" spans="1:1">
      <c r="A266" s="21"/>
    </row>
    <row r="267" spans="1:1">
      <c r="A267" s="21"/>
    </row>
    <row r="268" spans="1:1">
      <c r="A268" s="21"/>
    </row>
    <row r="269" spans="1:1">
      <c r="A269" s="21"/>
    </row>
    <row r="270" spans="1:1">
      <c r="A270" s="21"/>
    </row>
    <row r="271" spans="1:1">
      <c r="A271" s="21"/>
    </row>
    <row r="272" spans="1:1">
      <c r="A272" s="21"/>
    </row>
    <row r="273" spans="1:1">
      <c r="A273" s="21"/>
    </row>
    <row r="274" spans="1:1">
      <c r="A274" s="21"/>
    </row>
    <row r="275" spans="1:1">
      <c r="A275" s="21"/>
    </row>
    <row r="276" spans="1:1">
      <c r="A276" s="21"/>
    </row>
    <row r="277" spans="1:1">
      <c r="A277" s="21"/>
    </row>
    <row r="278" spans="1:1">
      <c r="A278" s="21"/>
    </row>
    <row r="279" spans="1:1">
      <c r="A279" s="21"/>
    </row>
    <row r="280" spans="1:1">
      <c r="A280" s="21"/>
    </row>
    <row r="281" spans="1:1">
      <c r="A281" s="21"/>
    </row>
    <row r="282" spans="1:1">
      <c r="A282" s="21"/>
    </row>
    <row r="283" spans="1:1">
      <c r="A283" s="21"/>
    </row>
    <row r="284" spans="1:1">
      <c r="A284" s="21"/>
    </row>
    <row r="285" spans="1:1">
      <c r="A285" s="21"/>
    </row>
    <row r="286" spans="1:1">
      <c r="A286" s="21"/>
    </row>
    <row r="287" spans="1:1">
      <c r="A287" s="21"/>
    </row>
    <row r="288" spans="1:1">
      <c r="A288" s="21"/>
    </row>
    <row r="289" spans="1:1">
      <c r="A289" s="21"/>
    </row>
    <row r="290" spans="1:1">
      <c r="A290" s="21"/>
    </row>
    <row r="291" spans="1:1">
      <c r="A291" s="21"/>
    </row>
    <row r="292" spans="1:1">
      <c r="A292" s="21"/>
    </row>
    <row r="293" spans="1:1">
      <c r="A293" s="21"/>
    </row>
    <row r="294" spans="1:1">
      <c r="A294" s="21"/>
    </row>
    <row r="295" spans="1:1">
      <c r="A295" s="21"/>
    </row>
    <row r="296" spans="1:1">
      <c r="A296" s="21"/>
    </row>
    <row r="297" spans="1:1">
      <c r="A297" s="21"/>
    </row>
    <row r="298" spans="1:1">
      <c r="A298" s="21"/>
    </row>
    <row r="299" spans="1:1">
      <c r="A299" s="21"/>
    </row>
    <row r="300" spans="1:1">
      <c r="A300" s="21"/>
    </row>
    <row r="301" spans="1:1">
      <c r="A301" s="21"/>
    </row>
    <row r="302" spans="1:1">
      <c r="A302" s="21"/>
    </row>
    <row r="303" spans="1:1">
      <c r="A303" s="21"/>
    </row>
    <row r="304" spans="1:1">
      <c r="A304" s="21"/>
    </row>
    <row r="305" spans="1:1">
      <c r="A305" s="21"/>
    </row>
    <row r="306" spans="1:1">
      <c r="A306" s="21"/>
    </row>
    <row r="307" spans="1:1">
      <c r="A307" s="21"/>
    </row>
    <row r="308" spans="1:1">
      <c r="A308" s="21"/>
    </row>
    <row r="309" spans="1:1">
      <c r="A309" s="21"/>
    </row>
    <row r="310" spans="1:1">
      <c r="A310" s="21"/>
    </row>
    <row r="311" spans="1:1">
      <c r="A311" s="21"/>
    </row>
    <row r="312" spans="1:1">
      <c r="A312" s="21"/>
    </row>
    <row r="313" spans="1:1">
      <c r="A313" s="21"/>
    </row>
    <row r="314" spans="1:1">
      <c r="A314" s="21"/>
    </row>
    <row r="315" spans="1:1">
      <c r="A315" s="21"/>
    </row>
    <row r="316" spans="1:1">
      <c r="A316" s="21"/>
    </row>
    <row r="317" spans="1:1">
      <c r="A317" s="21"/>
    </row>
    <row r="318" spans="1:1">
      <c r="A318" s="21"/>
    </row>
    <row r="319" spans="1:1">
      <c r="A319" s="21"/>
    </row>
    <row r="320" spans="1:1">
      <c r="A320" s="21"/>
    </row>
    <row r="321" spans="1:1">
      <c r="A321" s="21"/>
    </row>
    <row r="322" spans="1:1">
      <c r="A322" s="21"/>
    </row>
    <row r="323" spans="1:1">
      <c r="A323" s="21"/>
    </row>
    <row r="324" spans="1:1">
      <c r="A324" s="21"/>
    </row>
    <row r="325" spans="1:1">
      <c r="A325" s="21"/>
    </row>
    <row r="326" spans="1:1">
      <c r="A326" s="21"/>
    </row>
    <row r="327" spans="1:1">
      <c r="A327" s="21"/>
    </row>
    <row r="328" spans="1:1">
      <c r="A328" s="21"/>
    </row>
    <row r="329" spans="1:1">
      <c r="A329" s="21"/>
    </row>
    <row r="330" spans="1:1">
      <c r="A330" s="21"/>
    </row>
    <row r="331" spans="1:1">
      <c r="A331" s="21"/>
    </row>
    <row r="332" spans="1:1">
      <c r="A332" s="21"/>
    </row>
    <row r="333" spans="1:1">
      <c r="A333" s="21"/>
    </row>
    <row r="334" spans="1:1">
      <c r="A334" s="21"/>
    </row>
    <row r="335" spans="1:1">
      <c r="A335" s="21"/>
    </row>
    <row r="336" spans="1:1">
      <c r="A336" s="21"/>
    </row>
    <row r="337" spans="1:1">
      <c r="A337" s="21"/>
    </row>
    <row r="338" spans="1:1">
      <c r="A338" s="21"/>
    </row>
    <row r="339" spans="1:1">
      <c r="A339" s="21"/>
    </row>
    <row r="340" spans="1:1">
      <c r="A340" s="21"/>
    </row>
    <row r="341" spans="1:1">
      <c r="A341" s="21"/>
    </row>
    <row r="342" spans="1:1">
      <c r="A342" s="21"/>
    </row>
    <row r="343" spans="1:1">
      <c r="A343" s="21"/>
    </row>
    <row r="344" spans="1:1">
      <c r="A344" s="21"/>
    </row>
    <row r="345" spans="1:1">
      <c r="A345" s="21"/>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row r="511" spans="1:1">
      <c r="A511" s="18"/>
    </row>
  </sheetData>
  <mergeCells count="36">
    <mergeCell ref="F2:H6"/>
    <mergeCell ref="B14:E14"/>
    <mergeCell ref="F15:G15"/>
    <mergeCell ref="B28:B29"/>
    <mergeCell ref="A23:H23"/>
    <mergeCell ref="B15:E15"/>
    <mergeCell ref="A24:H24"/>
    <mergeCell ref="C28:D28"/>
    <mergeCell ref="E28:H28"/>
    <mergeCell ref="A28:A29"/>
    <mergeCell ref="A110:H110"/>
    <mergeCell ref="A26:H26"/>
    <mergeCell ref="B7:E7"/>
    <mergeCell ref="A21:H21"/>
    <mergeCell ref="A22:H22"/>
    <mergeCell ref="F14:G14"/>
    <mergeCell ref="B16:F16"/>
    <mergeCell ref="B17:F17"/>
    <mergeCell ref="B18:F18"/>
    <mergeCell ref="B19:F19"/>
    <mergeCell ref="G187:H187"/>
    <mergeCell ref="G186:H186"/>
    <mergeCell ref="C186:F186"/>
    <mergeCell ref="C187:F187"/>
    <mergeCell ref="A31:H31"/>
    <mergeCell ref="A95:H95"/>
    <mergeCell ref="A153:H153"/>
    <mergeCell ref="A144:H144"/>
    <mergeCell ref="A129:H129"/>
    <mergeCell ref="A123:H123"/>
    <mergeCell ref="B8:F8"/>
    <mergeCell ref="B9:F9"/>
    <mergeCell ref="B10:F10"/>
    <mergeCell ref="B11:F11"/>
    <mergeCell ref="B12:F12"/>
    <mergeCell ref="B13:F13"/>
  </mergeCells>
  <phoneticPr fontId="3" type="noConversion"/>
  <pageMargins left="0.51181102362204722" right="0.39370078740157483" top="0.39370078740157483" bottom="0.39370078740157483" header="0.31496062992125984" footer="0.19685039370078741"/>
  <pageSetup paperSize="9" scale="46" orientation="landscape" horizontalDpi="300" verticalDpi="300" r:id="rId1"/>
  <headerFooter alignWithMargins="0"/>
  <rowBreaks count="3" manualBreakCount="3">
    <brk id="53" max="7" man="1"/>
    <brk id="101" max="7" man="1"/>
    <brk id="152" max="7" man="1"/>
  </rowBreaks>
  <ignoredErrors>
    <ignoredError sqref="D125:D128 H40 H44:H45 H74:H75 H92:H94 D124 F125:F128 F124:H124"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Осн. фін. пок.</vt:lpstr>
      <vt:lpstr>рік</vt:lpstr>
      <vt:lpstr>Лист1</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2025-01-29T11:22:13Z</cp:lastPrinted>
  <dcterms:created xsi:type="dcterms:W3CDTF">2003-03-13T16:00:22Z</dcterms:created>
  <dcterms:modified xsi:type="dcterms:W3CDTF">2025-02-07T11:14:40Z</dcterms:modified>
</cp:coreProperties>
</file>