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ЦЕМД\"/>
    </mc:Choice>
  </mc:AlternateContent>
  <bookViews>
    <workbookView xWindow="0" yWindow="1545" windowWidth="12000" windowHeight="6420" tabRatio="915"/>
  </bookViews>
  <sheets>
    <sheet name="Осн. фін. пок." sheetId="14" r:id="rId1"/>
    <sheet name="Лист1" sheetId="15"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пок.'!$A$1:$H$188</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162913" fullCalcOnLoad="1"/>
</workbook>
</file>

<file path=xl/calcChain.xml><?xml version="1.0" encoding="utf-8"?>
<calcChain xmlns="http://schemas.openxmlformats.org/spreadsheetml/2006/main">
  <c r="F179" i="14" l="1"/>
  <c r="D173" i="14"/>
  <c r="D180" i="14"/>
  <c r="D175" i="14"/>
  <c r="F175" i="14" s="1"/>
  <c r="F182" i="14" s="1"/>
  <c r="G182" i="14" s="1"/>
  <c r="D166" i="14"/>
  <c r="F166" i="14" s="1"/>
  <c r="G166" i="14" s="1"/>
  <c r="D168" i="14"/>
  <c r="D174" i="14"/>
  <c r="D181" i="14" s="1"/>
  <c r="F168" i="14"/>
  <c r="D167" i="14"/>
  <c r="F167" i="14"/>
  <c r="G167" i="14" s="1"/>
  <c r="D179" i="14"/>
  <c r="D177" i="14"/>
  <c r="D182" i="14"/>
  <c r="F173" i="14"/>
  <c r="F180" i="14" s="1"/>
  <c r="G180" i="14" s="1"/>
  <c r="D171" i="14"/>
  <c r="D178" i="14" s="1"/>
  <c r="F170" i="14"/>
  <c r="E169" i="14"/>
  <c r="D165" i="14"/>
  <c r="D164" i="14"/>
  <c r="F164" i="14"/>
  <c r="H164" i="14" s="1"/>
  <c r="F163" i="14"/>
  <c r="D169" i="14"/>
  <c r="D43" i="14"/>
  <c r="D47" i="14"/>
  <c r="D46" i="14" s="1"/>
  <c r="D41" i="14" s="1"/>
  <c r="D38" i="14"/>
  <c r="D33" i="14"/>
  <c r="D49" i="14"/>
  <c r="G175" i="14"/>
  <c r="G173" i="14"/>
  <c r="G172" i="14"/>
  <c r="G168" i="14"/>
  <c r="H166" i="14"/>
  <c r="H165" i="14"/>
  <c r="F115" i="14"/>
  <c r="F122" i="14"/>
  <c r="F119" i="14" s="1"/>
  <c r="F114" i="14"/>
  <c r="F109" i="14"/>
  <c r="H109" i="14" s="1"/>
  <c r="F107" i="14"/>
  <c r="F106" i="14"/>
  <c r="F104" i="14"/>
  <c r="G104" i="14"/>
  <c r="F103" i="14"/>
  <c r="F98" i="14"/>
  <c r="F76" i="14"/>
  <c r="F75" i="14"/>
  <c r="H75" i="14" s="1"/>
  <c r="F67" i="14"/>
  <c r="G67" i="14" s="1"/>
  <c r="F66" i="14"/>
  <c r="F65" i="14"/>
  <c r="G65" i="14"/>
  <c r="F64" i="14"/>
  <c r="G64" i="14"/>
  <c r="F63" i="14"/>
  <c r="F60" i="14"/>
  <c r="F57" i="14"/>
  <c r="H57" i="14" s="1"/>
  <c r="F53" i="14"/>
  <c r="G53" i="14"/>
  <c r="F52" i="14"/>
  <c r="F49" i="14"/>
  <c r="H49" i="14" s="1"/>
  <c r="F45" i="14"/>
  <c r="H45" i="14" s="1"/>
  <c r="F43" i="14"/>
  <c r="F42" i="14"/>
  <c r="F39" i="14"/>
  <c r="F38" i="14"/>
  <c r="F35" i="14"/>
  <c r="G35" i="14"/>
  <c r="F34" i="14"/>
  <c r="G52" i="14"/>
  <c r="G34" i="14"/>
  <c r="D129" i="14"/>
  <c r="F123" i="14"/>
  <c r="D119" i="14"/>
  <c r="D112" i="14"/>
  <c r="F55" i="14"/>
  <c r="G55" i="14" s="1"/>
  <c r="E79" i="14"/>
  <c r="E46" i="14"/>
  <c r="C182" i="14"/>
  <c r="H175" i="14"/>
  <c r="G163" i="14"/>
  <c r="H114" i="14"/>
  <c r="G106" i="14"/>
  <c r="G103" i="14"/>
  <c r="H53" i="14"/>
  <c r="H76" i="14"/>
  <c r="G57" i="14"/>
  <c r="E105" i="14"/>
  <c r="E91" i="14"/>
  <c r="H91" i="14"/>
  <c r="G107" i="14"/>
  <c r="E62" i="14"/>
  <c r="E38" i="14"/>
  <c r="E32" i="14" s="1"/>
  <c r="D62" i="14"/>
  <c r="D59" i="14"/>
  <c r="F59" i="14" s="1"/>
  <c r="H59" i="14" s="1"/>
  <c r="C141" i="14"/>
  <c r="E162" i="14"/>
  <c r="F44" i="14"/>
  <c r="G44" i="14"/>
  <c r="G75" i="14"/>
  <c r="G76" i="14"/>
  <c r="E33" i="14"/>
  <c r="H37" i="14"/>
  <c r="H40" i="14"/>
  <c r="G58" i="14"/>
  <c r="H58" i="14"/>
  <c r="G61" i="14"/>
  <c r="H61" i="14"/>
  <c r="G68" i="14"/>
  <c r="H68" i="14"/>
  <c r="G69" i="14"/>
  <c r="H69" i="14"/>
  <c r="G70" i="14"/>
  <c r="H70" i="14"/>
  <c r="D71" i="14"/>
  <c r="E71" i="14"/>
  <c r="F71" i="14"/>
  <c r="G71" i="14" s="1"/>
  <c r="H71" i="14"/>
  <c r="G72" i="14"/>
  <c r="H72" i="14"/>
  <c r="G73" i="14"/>
  <c r="H73" i="14"/>
  <c r="G74" i="14"/>
  <c r="H74" i="14"/>
  <c r="G78" i="14"/>
  <c r="H78" i="14"/>
  <c r="D79" i="14"/>
  <c r="F79" i="14"/>
  <c r="F77" i="14"/>
  <c r="G77" i="14" s="1"/>
  <c r="H79" i="14"/>
  <c r="G80" i="14"/>
  <c r="H80" i="14"/>
  <c r="G81" i="14"/>
  <c r="H81" i="14"/>
  <c r="D82" i="14"/>
  <c r="D77" i="14" s="1"/>
  <c r="F82" i="14"/>
  <c r="G82" i="14"/>
  <c r="H82" i="14"/>
  <c r="G83" i="14"/>
  <c r="H83" i="14"/>
  <c r="G84" i="14"/>
  <c r="H84" i="14"/>
  <c r="D85" i="14"/>
  <c r="F85" i="14"/>
  <c r="G85" i="14"/>
  <c r="H85" i="14"/>
  <c r="G86" i="14"/>
  <c r="H86" i="14"/>
  <c r="G87" i="14"/>
  <c r="H87" i="14"/>
  <c r="G88" i="14"/>
  <c r="H88" i="14"/>
  <c r="G89" i="14"/>
  <c r="H89" i="14"/>
  <c r="G90" i="14"/>
  <c r="H90" i="14"/>
  <c r="G91" i="14"/>
  <c r="G92" i="14"/>
  <c r="H92" i="14"/>
  <c r="D97" i="14"/>
  <c r="E97" i="14"/>
  <c r="G99" i="14"/>
  <c r="H99" i="14"/>
  <c r="G100" i="14"/>
  <c r="H100" i="14"/>
  <c r="G101" i="14"/>
  <c r="H101" i="14"/>
  <c r="D102" i="14"/>
  <c r="E102" i="14"/>
  <c r="G102" i="14" s="1"/>
  <c r="H104" i="14"/>
  <c r="G108" i="14"/>
  <c r="H108" i="14"/>
  <c r="G109" i="14"/>
  <c r="E112" i="14"/>
  <c r="G113" i="14"/>
  <c r="H113" i="14"/>
  <c r="G116" i="14"/>
  <c r="H116" i="14"/>
  <c r="G117" i="14"/>
  <c r="H117" i="14"/>
  <c r="G118" i="14"/>
  <c r="H118" i="14"/>
  <c r="E119" i="14"/>
  <c r="G120" i="14"/>
  <c r="H120" i="14"/>
  <c r="G121" i="14"/>
  <c r="H121" i="14"/>
  <c r="G125" i="14"/>
  <c r="H125" i="14"/>
  <c r="G126" i="14"/>
  <c r="H126" i="14"/>
  <c r="G127" i="14"/>
  <c r="H127" i="14"/>
  <c r="G128" i="14"/>
  <c r="H128" i="14"/>
  <c r="G129" i="14"/>
  <c r="H129" i="14"/>
  <c r="G131" i="14"/>
  <c r="H131" i="14"/>
  <c r="E132" i="14"/>
  <c r="F132" i="14"/>
  <c r="H132" i="14" s="1"/>
  <c r="G133" i="14"/>
  <c r="H133" i="14"/>
  <c r="G134" i="14"/>
  <c r="H134" i="14"/>
  <c r="G135" i="14"/>
  <c r="H135" i="14"/>
  <c r="G136" i="14"/>
  <c r="H136" i="14"/>
  <c r="G137" i="14"/>
  <c r="H137" i="14"/>
  <c r="E138" i="14"/>
  <c r="G138" i="14" s="1"/>
  <c r="F138" i="14"/>
  <c r="H138" i="14"/>
  <c r="G139" i="14"/>
  <c r="H139" i="14"/>
  <c r="G140" i="14"/>
  <c r="H140" i="14"/>
  <c r="D141" i="14"/>
  <c r="E141" i="14"/>
  <c r="H141" i="14" s="1"/>
  <c r="F141" i="14"/>
  <c r="G141" i="14"/>
  <c r="G142" i="14"/>
  <c r="H142" i="14"/>
  <c r="G143" i="14"/>
  <c r="H143" i="14"/>
  <c r="G144" i="14"/>
  <c r="H144" i="14"/>
  <c r="C146" i="14"/>
  <c r="D146" i="14"/>
  <c r="E146" i="14"/>
  <c r="H146" i="14" s="1"/>
  <c r="F146" i="14"/>
  <c r="G146" i="14"/>
  <c r="G147" i="14"/>
  <c r="H147" i="14"/>
  <c r="G148" i="14"/>
  <c r="H148" i="14"/>
  <c r="G149" i="14"/>
  <c r="H149" i="14"/>
  <c r="C150" i="14"/>
  <c r="D150" i="14"/>
  <c r="E150" i="14"/>
  <c r="H150" i="14" s="1"/>
  <c r="F150" i="14"/>
  <c r="G150" i="14"/>
  <c r="G151" i="14"/>
  <c r="H151" i="14"/>
  <c r="G152" i="14"/>
  <c r="H152" i="14"/>
  <c r="G153" i="14"/>
  <c r="H153" i="14"/>
  <c r="D155" i="14"/>
  <c r="E155" i="14"/>
  <c r="F155" i="14"/>
  <c r="G155" i="14" s="1"/>
  <c r="G156" i="14"/>
  <c r="H156" i="14"/>
  <c r="G157" i="14"/>
  <c r="H157" i="14"/>
  <c r="G158" i="14"/>
  <c r="H158" i="14"/>
  <c r="G159" i="14"/>
  <c r="H159" i="14"/>
  <c r="G160" i="14"/>
  <c r="H160" i="14"/>
  <c r="G161" i="14"/>
  <c r="H161" i="14"/>
  <c r="H183" i="14"/>
  <c r="H65" i="14"/>
  <c r="D105" i="14"/>
  <c r="H163" i="14"/>
  <c r="G98" i="14"/>
  <c r="H34" i="14"/>
  <c r="H44" i="14"/>
  <c r="G79" i="14"/>
  <c r="E77" i="14"/>
  <c r="E93" i="14"/>
  <c r="H52" i="14"/>
  <c r="H39" i="14"/>
  <c r="E54" i="14"/>
  <c r="H168" i="14"/>
  <c r="H172" i="14"/>
  <c r="H122" i="14"/>
  <c r="H107" i="14"/>
  <c r="H103" i="14"/>
  <c r="E51" i="14"/>
  <c r="E50" i="14" s="1"/>
  <c r="E94" i="14"/>
  <c r="D110" i="14"/>
  <c r="H64" i="14"/>
  <c r="H63" i="14"/>
  <c r="G63" i="14"/>
  <c r="H43" i="14"/>
  <c r="G43" i="14"/>
  <c r="F33" i="14"/>
  <c r="H33" i="14"/>
  <c r="G45" i="14"/>
  <c r="G114" i="14"/>
  <c r="F102" i="14"/>
  <c r="G39" i="14"/>
  <c r="H77" i="14"/>
  <c r="G132" i="14"/>
  <c r="H173" i="14"/>
  <c r="H182" i="14"/>
  <c r="H167" i="14"/>
  <c r="G165" i="14"/>
  <c r="F162" i="14"/>
  <c r="H162" i="14" s="1"/>
  <c r="G164" i="14"/>
  <c r="H119" i="14"/>
  <c r="H123" i="14"/>
  <c r="G123" i="14"/>
  <c r="G122" i="14"/>
  <c r="F62" i="14"/>
  <c r="H62" i="14" s="1"/>
  <c r="H55" i="14"/>
  <c r="H35" i="14"/>
  <c r="G33" i="14"/>
  <c r="H180" i="14"/>
  <c r="G162" i="14"/>
  <c r="E95" i="14" l="1"/>
  <c r="G38" i="14"/>
  <c r="H38" i="14" s="1"/>
  <c r="G42" i="14"/>
  <c r="H42" i="14"/>
  <c r="G115" i="14"/>
  <c r="H115" i="14"/>
  <c r="F112" i="14"/>
  <c r="D32" i="14"/>
  <c r="D93" i="14" s="1"/>
  <c r="D176" i="14"/>
  <c r="H179" i="14"/>
  <c r="G179" i="14"/>
  <c r="G62" i="14"/>
  <c r="F54" i="14"/>
  <c r="G59" i="14"/>
  <c r="H155" i="14"/>
  <c r="D54" i="14"/>
  <c r="D51" i="14" s="1"/>
  <c r="D50" i="14" s="1"/>
  <c r="D94" i="14" s="1"/>
  <c r="H102" i="14"/>
  <c r="G49" i="14"/>
  <c r="H67" i="14"/>
  <c r="F47" i="14"/>
  <c r="G60" i="14"/>
  <c r="H60" i="14"/>
  <c r="H66" i="14"/>
  <c r="G66" i="14"/>
  <c r="F97" i="14"/>
  <c r="H98" i="14"/>
  <c r="H106" i="14"/>
  <c r="F105" i="14"/>
  <c r="G119" i="14"/>
  <c r="D162" i="14"/>
  <c r="F171" i="14"/>
  <c r="F177" i="14"/>
  <c r="G170" i="14"/>
  <c r="H170" i="14"/>
  <c r="F174" i="14"/>
  <c r="F110" i="14" l="1"/>
  <c r="H105" i="14"/>
  <c r="G105" i="14"/>
  <c r="G47" i="14"/>
  <c r="H47" i="14"/>
  <c r="F46" i="14"/>
  <c r="H174" i="14"/>
  <c r="G174" i="14"/>
  <c r="F181" i="14"/>
  <c r="H177" i="14"/>
  <c r="G177" i="14"/>
  <c r="G112" i="14"/>
  <c r="H112" i="14"/>
  <c r="F169" i="14"/>
  <c r="H171" i="14"/>
  <c r="F178" i="14"/>
  <c r="G171" i="14"/>
  <c r="H97" i="14"/>
  <c r="G97" i="14"/>
  <c r="H54" i="14"/>
  <c r="F51" i="14"/>
  <c r="G54" i="14"/>
  <c r="G51" i="14" s="1"/>
  <c r="D95" i="14"/>
  <c r="G178" i="14" l="1"/>
  <c r="H178" i="14"/>
  <c r="G169" i="14"/>
  <c r="H169" i="14"/>
  <c r="F176" i="14"/>
  <c r="G46" i="14"/>
  <c r="H46" i="14"/>
  <c r="F41" i="14"/>
  <c r="D125" i="14"/>
  <c r="D126" i="14"/>
  <c r="H51" i="14"/>
  <c r="F50" i="14"/>
  <c r="H181" i="14"/>
  <c r="G181" i="14"/>
  <c r="G110" i="14"/>
  <c r="H110" i="14"/>
  <c r="F94" i="14" l="1"/>
  <c r="G50" i="14"/>
  <c r="H50" i="14"/>
  <c r="G41" i="14"/>
  <c r="F32" i="14"/>
  <c r="H41" i="14"/>
  <c r="G176" i="14"/>
  <c r="H176" i="14"/>
  <c r="G32" i="14" l="1"/>
  <c r="H32" i="14"/>
  <c r="F93" i="14"/>
  <c r="H94" i="14"/>
  <c r="G94" i="14"/>
  <c r="F95" i="14" l="1"/>
  <c r="G93" i="14"/>
  <c r="H93" i="14"/>
  <c r="G95" i="14" l="1"/>
  <c r="H95" i="14"/>
</calcChain>
</file>

<file path=xl/sharedStrings.xml><?xml version="1.0" encoding="utf-8"?>
<sst xmlns="http://schemas.openxmlformats.org/spreadsheetml/2006/main" count="699" uniqueCount="538">
  <si>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</si>
  <si>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</si>
  <si>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</si>
  <si>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</si>
  <si>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</si>
  <si>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</si>
  <si>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</si>
  <si>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</si>
  <si>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</si>
  <si>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</si>
  <si>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</si>
  <si>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</si>
  <si>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</si>
  <si>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</si>
  <si>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</si>
  <si>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</si>
  <si>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</si>
  <si>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</si>
  <si>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</si>
  <si>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</si>
  <si>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</si>
  <si>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</si>
  <si>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</si>
  <si>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</si>
  <si>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_____________________________</t>
  </si>
  <si>
    <t>Середньооблікова кількість штатних працівників</t>
  </si>
  <si>
    <t>за КОАТУУ</t>
  </si>
  <si>
    <t>за КОПФГ</t>
  </si>
  <si>
    <t xml:space="preserve">за ЄДРПОУ </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</si>
  <si>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</si>
  <si>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</si>
  <si>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</si>
  <si>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</si>
  <si>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</si>
  <si>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</si>
  <si>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</si>
  <si>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</si>
  <si>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</si>
  <si>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</si>
  <si>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</si>
  <si>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</si>
  <si>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</si>
  <si>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</si>
  <si>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</si>
  <si>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</si>
  <si>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</si>
  <si>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</si>
  <si>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</si>
  <si>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</si>
  <si>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</si>
  <si>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</si>
  <si>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</si>
  <si>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</si>
  <si>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</si>
  <si>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</si>
  <si>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</si>
  <si>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</si>
  <si>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</si>
  <si>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</si>
  <si>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</si>
  <si>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</si>
  <si>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</si>
  <si>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</si>
  <si>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</si>
  <si>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</si>
  <si>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</si>
  <si>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</si>
  <si>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</si>
  <si>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</si>
  <si>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</si>
  <si>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</si>
  <si>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</si>
  <si>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</si>
  <si>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</si>
  <si>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</si>
  <si>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</si>
  <si>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</si>
  <si>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</si>
  <si>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</si>
  <si>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</si>
  <si>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</si>
  <si>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</si>
  <si>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</si>
  <si>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</si>
  <si>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</si>
  <si>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</si>
  <si>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</si>
  <si>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</si>
  <si>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</si>
  <si>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</si>
  <si>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</si>
  <si>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</si>
  <si>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</si>
  <si>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</si>
  <si>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</si>
  <si>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</si>
  <si>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ІІІ. Капітальні інвестиції</t>
  </si>
  <si>
    <t>ІV. Коефіцієнтний аналіз</t>
  </si>
  <si>
    <t>V. Звіт про фінансовий стан</t>
  </si>
  <si>
    <t>VI. Кредитна політика</t>
  </si>
  <si>
    <t>VII. Дані про персонал та витрати на оплату праці</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</si>
  <si>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</si>
  <si>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</si>
  <si>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</si>
  <si>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</si>
  <si>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</si>
  <si>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</si>
  <si>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</si>
  <si>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</si>
  <si>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</si>
  <si>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</si>
  <si>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</si>
  <si>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</si>
  <si>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</si>
  <si>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</si>
  <si>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</si>
  <si>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</si>
  <si>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</si>
  <si>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</si>
  <si>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</si>
  <si>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</si>
  <si>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</si>
  <si>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</si>
  <si>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</si>
  <si>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</si>
  <si>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</si>
  <si>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</si>
  <si>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</si>
  <si>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</si>
  <si>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</si>
  <si>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</si>
  <si>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</si>
  <si>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</si>
  <si>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</si>
  <si>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</si>
  <si>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</si>
  <si>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</si>
  <si>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</si>
  <si>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</si>
  <si>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</si>
  <si>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</si>
  <si>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</si>
  <si>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</si>
  <si>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</si>
  <si>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</si>
  <si>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</si>
  <si>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</si>
  <si>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</si>
  <si>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</si>
  <si>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</si>
  <si>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</si>
  <si>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</si>
  <si>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</si>
  <si>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</si>
  <si>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</si>
  <si>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</si>
  <si>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</si>
  <si>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</si>
  <si>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</si>
  <si>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</si>
  <si>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</si>
  <si>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</si>
  <si>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</si>
  <si>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</si>
  <si>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</si>
  <si>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</si>
  <si>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</si>
  <si>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</si>
  <si>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</si>
  <si>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</si>
  <si>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</si>
  <si>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</si>
  <si>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</si>
  <si>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</si>
  <si>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</si>
  <si>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</si>
  <si>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</si>
  <si>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</si>
  <si>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</si>
  <si>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</si>
  <si>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</si>
  <si>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</si>
  <si>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</si>
  <si>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</si>
  <si>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</si>
  <si>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</si>
  <si>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</si>
  <si>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</si>
  <si>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</si>
  <si>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</si>
  <si>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</si>
  <si>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</si>
  <si>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</si>
  <si>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</si>
  <si>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</si>
  <si>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</si>
  <si>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</si>
  <si>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</si>
  <si>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</si>
  <si>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</si>
  <si>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</si>
  <si>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</si>
  <si>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</si>
  <si>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86.90</t>
  </si>
  <si>
    <t>Підприємство   Комунальне некомерційне підприємство Сумської обласної ради "Сумський обласний центр екстреної медичної допомоги та медицини катастроф"</t>
  </si>
  <si>
    <t xml:space="preserve">Рік </t>
  </si>
  <si>
    <t>Комунальне некомерційне підприємство</t>
  </si>
  <si>
    <t>Ковпаківський</t>
  </si>
  <si>
    <t>Управління майном Сумської обласної ради</t>
  </si>
  <si>
    <t>Охорона  здоров*я</t>
  </si>
  <si>
    <t>Інша діяльність у сфері охорони здоров*я</t>
  </si>
  <si>
    <t xml:space="preserve">Комунальна </t>
  </si>
  <si>
    <t>40021, м.Суми, пров. Громадянський, б. 4А</t>
  </si>
  <si>
    <t>(0542) 68 21 03</t>
  </si>
  <si>
    <t>Бутенко С.П.</t>
  </si>
  <si>
    <t>Утримання та поповнення Регіонального резерву для запобігання і ліквідації наслідків надзвичайних ситуацій</t>
  </si>
  <si>
    <t>Бюджетне фінансування</t>
  </si>
  <si>
    <t>Місце зберігання</t>
  </si>
  <si>
    <t>Сума</t>
  </si>
  <si>
    <t>Кількість</t>
  </si>
  <si>
    <t>Ціна</t>
  </si>
  <si>
    <t>ТМЦ</t>
  </si>
  <si>
    <t>Код</t>
  </si>
  <si>
    <t>Од. вим.</t>
  </si>
  <si>
    <t>Втрати війни</t>
  </si>
  <si>
    <t xml:space="preserve"> Заглушка ліва Акація</t>
  </si>
  <si>
    <t xml:space="preserve">000007721  </t>
  </si>
  <si>
    <t>шт</t>
  </si>
  <si>
    <t xml:space="preserve"> Заглушка права Акація</t>
  </si>
  <si>
    <t xml:space="preserve">000007722  </t>
  </si>
  <si>
    <t xml:space="preserve"> Заглушки д,25 ППР</t>
  </si>
  <si>
    <t xml:space="preserve">000008242  </t>
  </si>
  <si>
    <t xml:space="preserve">Cистема визначення рівня  глюкози в крові "Gluco Dr.auto"AGM-4000 </t>
  </si>
  <si>
    <t xml:space="preserve">000003542  </t>
  </si>
  <si>
    <t>Агроволокно чорного кольору,розміром 1,6х10 м.та щільністю 50г/кв.м</t>
  </si>
  <si>
    <t xml:space="preserve">000007326  </t>
  </si>
  <si>
    <t>м</t>
  </si>
  <si>
    <t>АМІНАЗИН Розчин для ін'єкцій, 25 мг/мл по 2 мл в ампулах № 10</t>
  </si>
  <si>
    <t xml:space="preserve">000006928  </t>
  </si>
  <si>
    <t>ампул</t>
  </si>
  <si>
    <t xml:space="preserve">Анальгін р-н д/ин.500 мг/мл 2,0 №10 </t>
  </si>
  <si>
    <t xml:space="preserve">000004953  </t>
  </si>
  <si>
    <t>АНАПРИЛІН-ЗДОРОВ'Я табл.по 40мг.№50( 10 х5 )у блістерах</t>
  </si>
  <si>
    <t xml:space="preserve">000005479  </t>
  </si>
  <si>
    <t>табл.(шт.)</t>
  </si>
  <si>
    <t>Апарат для вимірювання кров`яного тиску зі стетоскопом</t>
  </si>
  <si>
    <t xml:space="preserve">000005093  </t>
  </si>
  <si>
    <t>Апарат штучної вентиляції легень з ручним приводом "БІОМЕД" в комплекті: "Педіатричний"</t>
  </si>
  <si>
    <t xml:space="preserve">000000878  </t>
  </si>
  <si>
    <t>АСКОРБІНОВА КИСЛОТА-ДАРНИЦЯ р-н д/ін. 50 мг/мл амп. 2 мл, контурн. чарунк. уп., пачка №10</t>
  </si>
  <si>
    <t xml:space="preserve">000006871  </t>
  </si>
  <si>
    <t xml:space="preserve">АТРОПІНУ СУЛЬФАТ  розчин для ін'єкцій, 1 мг/мл 1 мл в ампулах №10 </t>
  </si>
  <si>
    <t xml:space="preserve">000002304  </t>
  </si>
  <si>
    <t>Бензин А-92 ( бак)</t>
  </si>
  <si>
    <t xml:space="preserve">000006636  </t>
  </si>
  <si>
    <t>л</t>
  </si>
  <si>
    <t>Бензин А-92 (підзвіт)</t>
  </si>
  <si>
    <t xml:space="preserve">000006633  </t>
  </si>
  <si>
    <t>Валік</t>
  </si>
  <si>
    <t xml:space="preserve">000006263  </t>
  </si>
  <si>
    <t>ВЕРАПАМІЛ-ДАРНИЦА р-н д/ін'єк. 2,5мг/мл 2 мл,по 5амп.у конт.чарун.упак.по 2конт.чар.упак.у пачці</t>
  </si>
  <si>
    <t xml:space="preserve">000004375  </t>
  </si>
  <si>
    <t>Вимикач 1кл.</t>
  </si>
  <si>
    <t xml:space="preserve">000007730  </t>
  </si>
  <si>
    <t xml:space="preserve">Відро 20 л.  (Bis) біле </t>
  </si>
  <si>
    <t xml:space="preserve">000005527  </t>
  </si>
  <si>
    <t>ВУГІЛЛЯ АКТИВОВАНЕ таблетки по 250 мг №10 (10*1)</t>
  </si>
  <si>
    <t xml:space="preserve">000004353  </t>
  </si>
  <si>
    <t>Гекодез, розчин для інфузій, 60мг/мл по 200 мл</t>
  </si>
  <si>
    <t xml:space="preserve">000005678  </t>
  </si>
  <si>
    <t>пляш.</t>
  </si>
  <si>
    <t>Гель високопровідний електродний 260 гр</t>
  </si>
  <si>
    <t xml:space="preserve">000007008  </t>
  </si>
  <si>
    <t>ГЕМОТРАН, р-н д/і 100 мг/мл, амп. 5 мл, №5</t>
  </si>
  <si>
    <t xml:space="preserve">000006885  </t>
  </si>
  <si>
    <t>Гладилка 0800-342000</t>
  </si>
  <si>
    <t xml:space="preserve">000008022  </t>
  </si>
  <si>
    <t>Глюкоза р-н д/ін 40% по 20 мл в ампулах №10</t>
  </si>
  <si>
    <t xml:space="preserve">000005466  </t>
  </si>
  <si>
    <t>Голкотримач</t>
  </si>
  <si>
    <t xml:space="preserve">000000591  </t>
  </si>
  <si>
    <t>Двері "ОМІС" під покраску Класика ПГ 2,0х0,80</t>
  </si>
  <si>
    <t xml:space="preserve">000007688  </t>
  </si>
  <si>
    <t>ДЕКСАМЕТАЗОНУ ФОСФАТ, р-н д/і 4 мг/мл, амп. 1 мл, №10</t>
  </si>
  <si>
    <t xml:space="preserve">000006879  </t>
  </si>
  <si>
    <t>Джугут Єсмерха</t>
  </si>
  <si>
    <t xml:space="preserve">000000645  </t>
  </si>
  <si>
    <t>ДИГОКСИН розч. д/ін'єкц. 0,25 мг/мл  1 мл. №10 (35,588)</t>
  </si>
  <si>
    <t xml:space="preserve">000001995  </t>
  </si>
  <si>
    <t>Дизельне пальне (бак)</t>
  </si>
  <si>
    <t xml:space="preserve">000006635  </t>
  </si>
  <si>
    <t>Дизельне пальне (підзвіт)</t>
  </si>
  <si>
    <t xml:space="preserve">000006634  </t>
  </si>
  <si>
    <t xml:space="preserve">ДИКЛОФЕНАК-ДАРНИЦЯ р-н д/ін.25мг/мл амп. 3 мл  № 5 </t>
  </si>
  <si>
    <t xml:space="preserve">000003898  </t>
  </si>
  <si>
    <t>ДИМЕДРОЛ р-н д/ін. 10 мг/мл амп. 1 мл, коробка №10</t>
  </si>
  <si>
    <t xml:space="preserve">000006872  </t>
  </si>
  <si>
    <t>Електрод багаторазовий-Присосок (дорослий)</t>
  </si>
  <si>
    <t xml:space="preserve">000006289  </t>
  </si>
  <si>
    <t xml:space="preserve">ЕНАЛАПРИЛтабл. по 0,01г по 10табл.у блістері, по 5 блістери у пачці </t>
  </si>
  <si>
    <t xml:space="preserve">000006903  </t>
  </si>
  <si>
    <t xml:space="preserve">ЕНАП розч.д/ін'єк.1,25 мг/мл 1 мл №5 </t>
  </si>
  <si>
    <t xml:space="preserve">000006142  </t>
  </si>
  <si>
    <t>ЕУФІЛІН-Н 200, р-н д/і 2%, амп. 5 мл, №10</t>
  </si>
  <si>
    <t xml:space="preserve">000006884  </t>
  </si>
  <si>
    <t>З'єднувач Акація</t>
  </si>
  <si>
    <t xml:space="preserve">000007723  </t>
  </si>
  <si>
    <t>Зажими різні</t>
  </si>
  <si>
    <t xml:space="preserve">000000647  </t>
  </si>
  <si>
    <t>Замок врізний Цилінд</t>
  </si>
  <si>
    <t xml:space="preserve">000008445  </t>
  </si>
  <si>
    <t>Замок міжкімнатний 100 S</t>
  </si>
  <si>
    <t xml:space="preserve">000008274  </t>
  </si>
  <si>
    <t>Засіб дезінфекційний "НОР-ультра", засіб на спиртовій основі для дез.рук, об'єм 1000 мл</t>
  </si>
  <si>
    <t xml:space="preserve">000003308  </t>
  </si>
  <si>
    <t>флак</t>
  </si>
  <si>
    <t>Засувка APECS 5400-АВ</t>
  </si>
  <si>
    <t xml:space="preserve">000007692  </t>
  </si>
  <si>
    <t>Затискач для пуповини стирил. одн.</t>
  </si>
  <si>
    <t xml:space="preserve">000002322  </t>
  </si>
  <si>
    <t xml:space="preserve">Затискач кровоспинний поOchsneer-Kocher, одно і двозубний , зубчатий , прямий №2, Довжина 16,0 см </t>
  </si>
  <si>
    <t xml:space="preserve">000000075  </t>
  </si>
  <si>
    <t>Затискач хірургічний</t>
  </si>
  <si>
    <t xml:space="preserve">000000593  </t>
  </si>
  <si>
    <t>Захисне скло (Perciron Screen protektor for Xiaomi Redmi 9 Glass) Perciron</t>
  </si>
  <si>
    <t xml:space="preserve">000007053  </t>
  </si>
  <si>
    <t>Захисний екран, щиток для обличчя</t>
  </si>
  <si>
    <t xml:space="preserve">000006612  </t>
  </si>
  <si>
    <t>Захисний чохол-книжка (FRVSIMEN Metal Desing Retro Leather Wallet Flip Case) FRVSIMEN</t>
  </si>
  <si>
    <t xml:space="preserve">000007052  </t>
  </si>
  <si>
    <t>КАЛЬЦІЮ ГЛЮКОНАТ СТАБІЛІЗОВАНИЙ, р-н для ін'єкцій 100 мг/мл, амп. 10 мл, №10</t>
  </si>
  <si>
    <t xml:space="preserve">000006881  </t>
  </si>
  <si>
    <t>Каптоприл табл. 0.025г №20 (10*2) у блістерах в пачці</t>
  </si>
  <si>
    <t xml:space="preserve">000005428  </t>
  </si>
  <si>
    <t>Карманний пульсоксиметр MD300K2</t>
  </si>
  <si>
    <t xml:space="preserve">000004941  </t>
  </si>
  <si>
    <t>Картридж PrintPro NS Canon 725 MF3010/LBP6030 (PP-C725NS)</t>
  </si>
  <si>
    <t xml:space="preserve">000008434  </t>
  </si>
  <si>
    <t>Катетер аспіраційний з вакуумним контролем, розм.12</t>
  </si>
  <si>
    <t xml:space="preserve">000000916  </t>
  </si>
  <si>
    <t>Катетер аспіраційний одноразового використання, конектор Kapkon, розмір Fr10</t>
  </si>
  <si>
    <t xml:space="preserve">000007045  </t>
  </si>
  <si>
    <t>Катетер Нелатона чоловічий стерильний, розмір 12 FG</t>
  </si>
  <si>
    <t xml:space="preserve">000007043  </t>
  </si>
  <si>
    <t>Катетор аспіраційний JS з вакуумн.контр.Y подібн.(Катетер д/відсмокт)р.8</t>
  </si>
  <si>
    <t xml:space="preserve">000004424  </t>
  </si>
  <si>
    <t>Катетор урологічний Нелатона жночий. розмір 10</t>
  </si>
  <si>
    <t xml:space="preserve">000003823  </t>
  </si>
  <si>
    <t>КЕЙВЕР, р-н д/і, 50 мг/2 мл, амп. 2 мл, №10</t>
  </si>
  <si>
    <t xml:space="preserve">000006887  </t>
  </si>
  <si>
    <t>КЛОФЕЛІН-ЗН.Розчин д/ін.0,01% по 1мл.в ампулі</t>
  </si>
  <si>
    <t xml:space="preserve">000005473  </t>
  </si>
  <si>
    <t>Комбінезон багаторазовий (гуманіт.допо.)</t>
  </si>
  <si>
    <t xml:space="preserve">000006679  </t>
  </si>
  <si>
    <t>Комір Шанса д/дітей</t>
  </si>
  <si>
    <t xml:space="preserve">000000650  </t>
  </si>
  <si>
    <t>Комір Шанса д/дорослих</t>
  </si>
  <si>
    <t xml:space="preserve">000000651  </t>
  </si>
  <si>
    <t xml:space="preserve">Комплект одягу для немовлят </t>
  </si>
  <si>
    <t xml:space="preserve">000002447  </t>
  </si>
  <si>
    <t>Комплект одягу для покриттів  акушерських столів №30</t>
  </si>
  <si>
    <t xml:space="preserve">000006043  </t>
  </si>
  <si>
    <t>Короб 160-ка 1 стійка</t>
  </si>
  <si>
    <t xml:space="preserve">000007689  </t>
  </si>
  <si>
    <t>Корцанг</t>
  </si>
  <si>
    <t xml:space="preserve">000000652  </t>
  </si>
  <si>
    <t>Костилі дорослі</t>
  </si>
  <si>
    <t xml:space="preserve">000000653  </t>
  </si>
  <si>
    <t>Костюм біологічного захисту/комбінезон водонепрон.з проклеєними швами(плащ.ткан.щільність80/м2)М</t>
  </si>
  <si>
    <t xml:space="preserve">000005990  </t>
  </si>
  <si>
    <t>Костюм біологічного захисту/комбінезон водонепрон.з проклеєними швами(плащ.ткан.щільність80/м2)ХL</t>
  </si>
  <si>
    <t xml:space="preserve">000005988  </t>
  </si>
  <si>
    <t>Костюм біологічного захисту/комбінезон водонепрон.з проклеєними швами(плащ.ткан.щільність80/м2)ХХL</t>
  </si>
  <si>
    <t xml:space="preserve">000005991  </t>
  </si>
  <si>
    <t>Костюм біологічного захисту/комбінезон водонепрон.з проклеєними швами(плащ.ткан.щільність80/м2)ХХХL</t>
  </si>
  <si>
    <t xml:space="preserve">000006080  </t>
  </si>
  <si>
    <t>Кофта флісова жіноча червоного кольору</t>
  </si>
  <si>
    <t xml:space="preserve">000008615  </t>
  </si>
  <si>
    <t xml:space="preserve">Кофта флісова чоловіча червоного кольору </t>
  </si>
  <si>
    <t xml:space="preserve">000008614  </t>
  </si>
  <si>
    <t>Кришка відра  (Bis) ,круг. 20л.</t>
  </si>
  <si>
    <t xml:space="preserve">000005528  </t>
  </si>
  <si>
    <t>Кут внутрішній  Акація</t>
  </si>
  <si>
    <t xml:space="preserve">000007720  </t>
  </si>
  <si>
    <t>Кут з'єднув.PPR 45 25х25</t>
  </si>
  <si>
    <t xml:space="preserve">000008291  </t>
  </si>
  <si>
    <t>Ларенгіальна маска №4 ПВХ</t>
  </si>
  <si>
    <t xml:space="preserve">000003301  </t>
  </si>
  <si>
    <t>Ларінгеальна маска №3 ПВХ</t>
  </si>
  <si>
    <t xml:space="preserve">000006979  </t>
  </si>
  <si>
    <t xml:space="preserve">Лоспирин 75мг №120 </t>
  </si>
  <si>
    <t xml:space="preserve">000006750  </t>
  </si>
  <si>
    <t>Магнію сульфат розчин для ін'єкцій 250 мг/мл по 5 мл в ампулі № 10</t>
  </si>
  <si>
    <t xml:space="preserve">000005676  </t>
  </si>
  <si>
    <t>Маска киснева доросла</t>
  </si>
  <si>
    <t xml:space="preserve">000005842  </t>
  </si>
  <si>
    <t>Маска киснева з мішком дитяча</t>
  </si>
  <si>
    <t xml:space="preserve">000006353  </t>
  </si>
  <si>
    <t>Маска киснева з мішком для дорослих</t>
  </si>
  <si>
    <t xml:space="preserve">000006610  </t>
  </si>
  <si>
    <t xml:space="preserve">МЕЗАТОН. Розчин для ін'єкцій, 10 мг/мл по 1 мл в ампулах  № 10(10*1), у блістерах у пачці </t>
  </si>
  <si>
    <t xml:space="preserve">000005480  </t>
  </si>
  <si>
    <t>МЕТОКЛОПРАМІД-ДАРНИЦЯ р-н д/ін. 5 мг/мл амп. 2 мл № 10</t>
  </si>
  <si>
    <t xml:space="preserve">000003136  </t>
  </si>
  <si>
    <t>Мішок дих ручний АМБУваріант викон:(багатораз, силікон) немовля</t>
  </si>
  <si>
    <t xml:space="preserve">000004367  </t>
  </si>
  <si>
    <t>Мішок дих ручний типу АМБУ(багатораз/силікон) комплект:"дорослий"</t>
  </si>
  <si>
    <t xml:space="preserve">000005095  </t>
  </si>
  <si>
    <t>Набір для кінокотомії дорослий</t>
  </si>
  <si>
    <t xml:space="preserve">000006613  </t>
  </si>
  <si>
    <t>НАЛБУК, р-н для ін'єкцій 10 мг/мл, амп. 1 мл, №5</t>
  </si>
  <si>
    <t xml:space="preserve">000006888  </t>
  </si>
  <si>
    <t>Налбуфін розчин для ін. 10мг/мл по 1мл ампулі №10</t>
  </si>
  <si>
    <t xml:space="preserve">000005904  </t>
  </si>
  <si>
    <t>НАТРІЮ АДЕНОЗИНТРИФОСФАТ-ДАРНИЦЯ Р-н для ін'єкцій,10 мг/мл амп.1 мл, контурн.чарунк.уп., пачка № 10</t>
  </si>
  <si>
    <t xml:space="preserve">000006126  </t>
  </si>
  <si>
    <t>Натрію хлорид розчин для ін. 9мг/мл по 5мл в ампулах№10</t>
  </si>
  <si>
    <t xml:space="preserve">000004571  </t>
  </si>
  <si>
    <t>Ніж Торе лезо 18мм</t>
  </si>
  <si>
    <t xml:space="preserve">000007173  </t>
  </si>
  <si>
    <t>Ножиці</t>
  </si>
  <si>
    <t xml:space="preserve">000000598  </t>
  </si>
  <si>
    <t>Ножиці медичні для перев'язувального  матеріалу . Довжина 23,5 см по 47,91</t>
  </si>
  <si>
    <t xml:space="preserve">000000108  </t>
  </si>
  <si>
    <t>Носорозширювач</t>
  </si>
  <si>
    <t xml:space="preserve">000000655  </t>
  </si>
  <si>
    <t>Нохшаверин"ОЗ" р-н для ін'єкцій, 20мг/мл по 2 мл в амп, № 5</t>
  </si>
  <si>
    <t xml:space="preserve">000003883  </t>
  </si>
  <si>
    <t>Ноші</t>
  </si>
  <si>
    <t xml:space="preserve">000000320  </t>
  </si>
  <si>
    <t>Обприскувач кистьовий Shixia Sprayer 2л  SX-5073-6</t>
  </si>
  <si>
    <t xml:space="preserve">000005669  </t>
  </si>
  <si>
    <t>Одноразовий електрод SKINTACT FS-50</t>
  </si>
  <si>
    <t xml:space="preserve">000006285  </t>
  </si>
  <si>
    <t>Одноразовий педіатричний електрод SKINTACT F-301</t>
  </si>
  <si>
    <t xml:space="preserve">000006286  </t>
  </si>
  <si>
    <t>Окуляри захисні  (гуманіт.допомог)</t>
  </si>
  <si>
    <t xml:space="preserve">000006680  </t>
  </si>
  <si>
    <t>ПАРАЦЕТАМОЛ. Супозиторії ректальні по 80 мг № 10 у стрипах у пачці</t>
  </si>
  <si>
    <t xml:space="preserve">000001829  </t>
  </si>
  <si>
    <t>Петлі дверні APECS 100</t>
  </si>
  <si>
    <t xml:space="preserve">000007690  </t>
  </si>
  <si>
    <t>Петля з підшипником</t>
  </si>
  <si>
    <t xml:space="preserve">000008441  </t>
  </si>
  <si>
    <t>Піна монтажна Церезит проф. 750</t>
  </si>
  <si>
    <t xml:space="preserve">000007581  </t>
  </si>
  <si>
    <t>Пінцет хірургічний</t>
  </si>
  <si>
    <t xml:space="preserve">000000579  </t>
  </si>
  <si>
    <t>Пінцет хірургічний . Довжина15,0 см по 14,78</t>
  </si>
  <si>
    <t xml:space="preserve">000000112  </t>
  </si>
  <si>
    <t>Пінцети різні</t>
  </si>
  <si>
    <t xml:space="preserve">000000656  </t>
  </si>
  <si>
    <t>Плавікс таблетки,вкриті плівк. оболонк. по 300 мг№10</t>
  </si>
  <si>
    <t xml:space="preserve">000005475  </t>
  </si>
  <si>
    <t>ПЛАТИФІЛІН-ДАРНИЦЯ р-н д/ін. 2 мг/мл амп. 1 мл, контурн. чарунк. уп., пачка №10</t>
  </si>
  <si>
    <t xml:space="preserve">000006875  </t>
  </si>
  <si>
    <t>Плінтус 67 мм Акація</t>
  </si>
  <si>
    <t xml:space="preserve">000007719  </t>
  </si>
  <si>
    <t xml:space="preserve">Повітровод "Guedel" з кольор. код. 40 мм </t>
  </si>
  <si>
    <t xml:space="preserve">000005727  </t>
  </si>
  <si>
    <t>Повітровод "Guedel" з кольор. код. 40 мм по 8,151</t>
  </si>
  <si>
    <t xml:space="preserve">000000939  </t>
  </si>
  <si>
    <t>Подовжувач</t>
  </si>
  <si>
    <t xml:space="preserve">000000325  </t>
  </si>
  <si>
    <t>Рамка  2</t>
  </si>
  <si>
    <t xml:space="preserve">000008448  </t>
  </si>
  <si>
    <t>Рамка  4</t>
  </si>
  <si>
    <t xml:space="preserve">000007732  </t>
  </si>
  <si>
    <t>РАФТ, р-н д/і 4 мг/мл амп. 1мл, №10</t>
  </si>
  <si>
    <t xml:space="preserve">000006409  </t>
  </si>
  <si>
    <t>Рейка Маякова 1*3 м.</t>
  </si>
  <si>
    <t xml:space="preserve">000007701  </t>
  </si>
  <si>
    <t>Роторозширювач</t>
  </si>
  <si>
    <t xml:space="preserve">000000604  </t>
  </si>
  <si>
    <t xml:space="preserve">Рукавички оглядові латексні н/с  припудрені S </t>
  </si>
  <si>
    <t xml:space="preserve">000005786  </t>
  </si>
  <si>
    <t>пар</t>
  </si>
  <si>
    <t>Рукавички оглядові латексні н/с припудрені, М</t>
  </si>
  <si>
    <t xml:space="preserve">000001836  </t>
  </si>
  <si>
    <t>ручка 135х75 (63.007)</t>
  </si>
  <si>
    <t xml:space="preserve">000008468  </t>
  </si>
  <si>
    <t>ручки роздільні APECS 0492</t>
  </si>
  <si>
    <t xml:space="preserve">000007691  </t>
  </si>
  <si>
    <t>ручний мішок для ШВЛ 550 МЛ</t>
  </si>
  <si>
    <t xml:space="preserve">000000273  </t>
  </si>
  <si>
    <t>ручний мішок для ШВЛ для дорослих</t>
  </si>
  <si>
    <t xml:space="preserve">000000251  </t>
  </si>
  <si>
    <t>Сангера розчин для ін'єкцій 100 мг/мл по 5мл в амп.№5</t>
  </si>
  <si>
    <t xml:space="preserve">000005903  </t>
  </si>
  <si>
    <t>Скальпель, розмір 11</t>
  </si>
  <si>
    <t xml:space="preserve">000007049  </t>
  </si>
  <si>
    <t>Скарифікатор</t>
  </si>
  <si>
    <t xml:space="preserve">000007965  </t>
  </si>
  <si>
    <t>Термометр медичний цифровий по 4,47</t>
  </si>
  <si>
    <t xml:space="preserve">000000127  </t>
  </si>
  <si>
    <t>Тест-система для виявлення  ВІЛ 1-го і 2-го типів CITO TEST HIV1/2 (№40)</t>
  </si>
  <si>
    <t xml:space="preserve">000006989  </t>
  </si>
  <si>
    <t>ФУРОСЕМІД-ДАРНИЦЯ р-н д/ ін 10мг/ мл. по 2мл. в амп по 5амп у конт.чарун.уп.по 2конт.чарун.уп в пач.</t>
  </si>
  <si>
    <t xml:space="preserve">000005481  </t>
  </si>
  <si>
    <t>Халат ізоляційний медичний одноразовий р. М</t>
  </si>
  <si>
    <t xml:space="preserve">000006941  </t>
  </si>
  <si>
    <t>ХЛОРОПІРАМІНУ ГІДРОХЛОРИД р-н д/ін. 2% амп.1 мл №5</t>
  </si>
  <si>
    <t xml:space="preserve">000006173  </t>
  </si>
  <si>
    <t xml:space="preserve">Циліндр ABUS плоский  ключ </t>
  </si>
  <si>
    <t xml:space="preserve">000008442  </t>
  </si>
  <si>
    <t>Шапка (зимова з шивроном) (100% акрил)</t>
  </si>
  <si>
    <t xml:space="preserve">000007947  </t>
  </si>
  <si>
    <t>Шина крамера</t>
  </si>
  <si>
    <t xml:space="preserve">000000606  </t>
  </si>
  <si>
    <t>Шина фіксуюча (формовочна) Ф-1</t>
  </si>
  <si>
    <t xml:space="preserve">000004939  </t>
  </si>
  <si>
    <t>Шпатель 450 мм нержав.</t>
  </si>
  <si>
    <t xml:space="preserve">000008021  </t>
  </si>
  <si>
    <t>Шприці Магіла зігнуті дорослі правобічні</t>
  </si>
  <si>
    <t xml:space="preserve">000006050  </t>
  </si>
  <si>
    <t>Язикотримач по Collsn, для дорослих. Довжина 17,0 см по 63,76</t>
  </si>
  <si>
    <t xml:space="preserve">000000149  </t>
  </si>
  <si>
    <t xml:space="preserve">000000661  </t>
  </si>
  <si>
    <t>Ящик для аппарата</t>
  </si>
  <si>
    <t xml:space="preserve">000000662  </t>
  </si>
  <si>
    <t>Разом</t>
  </si>
  <si>
    <t>Додаток № 1  до пояснюючої</t>
  </si>
  <si>
    <t>Перелік майна втраченого під час активних бойових дій внаслідок збройної Російської агресії на території м. Тростянець</t>
  </si>
  <si>
    <t>Головний бухгалтер</t>
  </si>
  <si>
    <t>Н.П.Леоненко</t>
  </si>
  <si>
    <r>
      <t xml:space="preserve">інші доходи </t>
    </r>
    <r>
      <rPr>
        <i/>
        <sz val="14"/>
        <rFont val="Times New Roman"/>
        <family val="1"/>
        <charset val="204"/>
      </rPr>
      <t xml:space="preserve">(розшифрувати) </t>
    </r>
  </si>
  <si>
    <t>Відшкодування стахових випадків та комунальних послуг</t>
  </si>
  <si>
    <t>залишок попереднього року</t>
  </si>
  <si>
    <t>інші джерела благ</t>
  </si>
  <si>
    <t>в тому чисі з навчання посуг ( за КВЕД 85.9)</t>
  </si>
  <si>
    <t>Оласна програма підтримки закадів охорони здоров'я. що надать спеціалізовану медичну допомогу населенн Сумської оласті на 2023-2025 роки</t>
  </si>
  <si>
    <t>придання (виготовення) іних неооротних матеріальних активів</t>
  </si>
  <si>
    <r>
      <t xml:space="preserve">Інші поточні витрати </t>
    </r>
    <r>
      <rPr>
        <i/>
        <sz val="14"/>
        <rFont val="Times New Roman"/>
        <family val="1"/>
        <charset val="204"/>
      </rPr>
      <t>(розшифрувати)  Податки з  реєстрації ТЗ та ПДВ</t>
    </r>
  </si>
  <si>
    <t>Звітний період (____ІІI квартал  2024 рік)</t>
  </si>
  <si>
    <r>
      <t xml:space="preserve">за  </t>
    </r>
    <r>
      <rPr>
        <b/>
        <u/>
        <sz val="14"/>
        <rFont val="Times New Roman"/>
        <family val="1"/>
        <charset val="204"/>
      </rPr>
      <t xml:space="preserve">  2024 </t>
    </r>
    <r>
      <rPr>
        <b/>
        <sz val="14"/>
        <rFont val="Times New Roman"/>
        <family val="1"/>
        <charset val="204"/>
      </rPr>
      <t>р</t>
    </r>
  </si>
  <si>
    <t>Максим НОВІКОВ</t>
  </si>
  <si>
    <t>Медичний директор</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</si>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</sst>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73" formatCode="#,##0&quot;р.&quot;;[Red]\-#,##0&quot;р.&quot;"/>
    <numFmt numFmtId="174" formatCode="#,##0.00&quot;р.&quot;;\-#,##0.00&quot;р.&quot;"/>
    <numFmt numFmtId="179" formatCode="_-* #,##0.00_р_._-;\-* #,##0.00_р_._-;_-* &quot;-&quot;??_р_._-;_-@_-"/>
    <numFmt numFmtId="187" formatCode="_-* #,##0.00_₴_-;\-* #,##0.00_₴_-;_-* &quot;-&quot;??_₴_-;_-@_-"/>
    <numFmt numFmtId="195" formatCode="_-* #,##0.00\ _г_р_н_._-;\-* #,##0.00\ _г_р_н_._-;_-* &quot;-&quot;??\ _г_р_н_._-;_-@_-"/>
    <numFmt numFmtId="197" formatCode="#,##0.0"/>
    <numFmt numFmtId="202" formatCode="###\ ##0.000"/>
    <numFmt numFmtId="203" formatCode="_(&quot;$&quot;* #,##0.00_);_(&quot;$&quot;* \(#,##0.00\);_(&quot;$&quot;* &quot;-&quot;??_);_(@_)"/>
    <numFmt numFmtId="204" formatCode="_(* #,##0_);_(* \(#,##0\);_(* &quot;-&quot;_);_(@_)"/>
    <numFmt numFmtId="205" formatCode="_(* #,##0.00_);_(* \(#,##0.00\);_(* &quot;-&quot;??_);_(@_)"/>
    <numFmt numFmtId="206" formatCode="#,##0.0_ ;[Red]\-#,##0.0\ "/>
    <numFmt numFmtId="207" formatCode="0.0;\(0.0\);\ ;\-"/>
    <numFmt numFmtId="213" formatCode="_(* #,##0.0_);_(* \(#,##0.0\);_(* &quot;-&quot;_);_(@_)"/>
    <numFmt numFmtId="214" formatCode="_(* #,##0.00_);_(* \(#,##0.00\);_(* &quot;-&quot;_);_(@_)"/>
    <numFmt numFmtId="219" formatCode="#,##0.00;[Red]\-#,##0.00"/>
    <numFmt numFmtId="220" formatCode="#,##0.00000;[Red]\-#,##0.00000"/>
    <numFmt numFmtId="221" formatCode="0.00000"/>
    <numFmt numFmtId="222" formatCode="0.00;[Red]\-0.00"/>
    <numFmt numFmtId="223" formatCode="0.00000;[Red]\-0.00000"/>
    <numFmt numFmtId="224" formatCode="#,##0.00000"/>
  </numFmts>
  <fonts count="71">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sz val="10"/>
      <color indexed="63"/>
      <name val="Arial"/>
      <family val="2"/>
      <charset val="204"/>
    </font>
    <font>
      <i/>
      <sz val="8"/>
      <color indexed="63"/>
      <name val="Arial"/>
      <family val="2"/>
      <charset val="204"/>
    </font>
    <font>
      <sz val="8"/>
      <color indexed="63"/>
      <name val="Arial"/>
      <family val="2"/>
    </font>
    <font>
      <b/>
      <u/>
      <sz val="14"/>
      <name val="Times New Roman"/>
      <family val="1"/>
      <charset val="204"/>
    </font>
    <font>
      <sz val="11"/>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354">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95"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2"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3"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0"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70" fillId="0" borderId="0"/>
    <xf numFmtId="0" fontId="70" fillId="0" borderId="0"/>
    <xf numFmtId="0" fontId="70" fillId="0" borderId="0"/>
    <xf numFmtId="0" fontId="70" fillId="0" borderId="0"/>
    <xf numFmtId="0" fontId="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1" fillId="0" borderId="0"/>
    <xf numFmtId="0" fontId="70"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9"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4" fontId="62" fillId="0" borderId="0" applyFont="0" applyFill="0" applyBorder="0" applyAlignment="0" applyProtection="0"/>
    <xf numFmtId="205" fontId="62"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74"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206" fontId="2" fillId="0" borderId="0" applyFont="0" applyFill="0" applyBorder="0" applyAlignment="0" applyProtection="0"/>
    <xf numFmtId="206" fontId="2" fillId="0" borderId="0" applyFont="0" applyFill="0" applyBorder="0" applyAlignment="0" applyProtection="0"/>
    <xf numFmtId="179" fontId="2"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73" fontId="2" fillId="0" borderId="0" applyFont="0" applyFill="0" applyBorder="0" applyAlignment="0" applyProtection="0"/>
    <xf numFmtId="195"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7" fontId="64" fillId="22" borderId="12" applyFill="0" applyBorder="0">
      <alignment horizontal="center" vertical="center" wrapText="1"/>
      <protection locked="0"/>
    </xf>
    <xf numFmtId="202" fontId="65" fillId="0" borderId="0">
      <alignment wrapText="1"/>
    </xf>
    <xf numFmtId="202" fontId="32" fillId="0" borderId="0">
      <alignment wrapText="1"/>
    </xf>
  </cellStyleXfs>
  <cellXfs count="148">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3" xfId="0" applyFont="1" applyFill="1" applyBorder="1" applyAlignment="1">
      <alignment vertical="center" wrapText="1"/>
    </xf>
    <xf numFmtId="0" fontId="4"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Border="1" applyAlignment="1">
      <alignment horizontal="left" vertical="center" wrapText="1"/>
    </xf>
    <xf numFmtId="0" fontId="5" fillId="0" borderId="3" xfId="245" applyFont="1" applyFill="1" applyBorder="1" applyAlignment="1">
      <alignment horizontal="left" vertical="center" wrapText="1"/>
    </xf>
    <xf numFmtId="0" fontId="5" fillId="0" borderId="0" xfId="0" applyFont="1" applyFill="1" applyBorder="1" applyAlignment="1">
      <alignment vertical="center" wrapText="1"/>
    </xf>
    <xf numFmtId="0" fontId="5" fillId="0" borderId="3" xfId="245" applyFont="1" applyFill="1" applyBorder="1" applyAlignment="1">
      <alignment horizontal="center" vertical="center"/>
    </xf>
    <xf numFmtId="0" fontId="4" fillId="0" borderId="0" xfId="0" applyFont="1" applyFill="1" applyBorder="1" applyAlignment="1">
      <alignment horizontal="left" vertical="center" wrapText="1"/>
    </xf>
    <xf numFmtId="0" fontId="5" fillId="0" borderId="3" xfId="0" applyNumberFormat="1" applyFont="1" applyFill="1" applyBorder="1" applyAlignment="1">
      <alignment horizontal="center" vertical="center"/>
    </xf>
    <xf numFmtId="0" fontId="4" fillId="0" borderId="0" xfId="0" applyFont="1" applyFill="1" applyBorder="1" applyAlignment="1" applyProtection="1">
      <alignment horizontal="left" vertical="center"/>
      <protection locked="0"/>
    </xf>
    <xf numFmtId="0" fontId="5" fillId="0" borderId="13" xfId="0" applyFont="1" applyFill="1" applyBorder="1" applyAlignment="1">
      <alignment horizontal="center" vertical="center" wrapText="1"/>
    </xf>
    <xf numFmtId="0" fontId="4" fillId="0" borderId="3" xfId="245" applyFont="1" applyFill="1" applyBorder="1" applyAlignment="1">
      <alignment horizontal="left" vertical="center" wrapText="1"/>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16" xfId="0" applyFont="1" applyFill="1" applyBorder="1" applyAlignment="1">
      <alignment vertical="center"/>
    </xf>
    <xf numFmtId="0" fontId="5" fillId="0" borderId="0" xfId="0" applyFont="1" applyFill="1" applyBorder="1" applyAlignment="1">
      <alignment horizontal="left" vertical="center"/>
    </xf>
    <xf numFmtId="0" fontId="6" fillId="0" borderId="0" xfId="0" applyFont="1" applyFill="1" applyBorder="1" applyAlignment="1">
      <alignment vertical="center"/>
    </xf>
    <xf numFmtId="0" fontId="5" fillId="0" borderId="14" xfId="0" applyFont="1" applyFill="1" applyBorder="1" applyAlignment="1">
      <alignment vertical="center" wrapText="1"/>
    </xf>
    <xf numFmtId="0" fontId="5" fillId="0" borderId="16" xfId="0" applyFont="1" applyFill="1" applyBorder="1" applyAlignment="1">
      <alignment vertical="center" wrapText="1"/>
    </xf>
    <xf numFmtId="0" fontId="5" fillId="0" borderId="15" xfId="0" applyFont="1" applyFill="1" applyBorder="1" applyAlignment="1">
      <alignment vertical="center" wrapText="1"/>
    </xf>
    <xf numFmtId="0" fontId="4" fillId="0" borderId="3"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wrapText="1"/>
      <protection locked="0"/>
    </xf>
    <xf numFmtId="197" fontId="5" fillId="0" borderId="3" xfId="0" applyNumberFormat="1" applyFont="1" applyFill="1" applyBorder="1" applyAlignment="1">
      <alignment horizontal="center" vertical="center" wrapText="1"/>
    </xf>
    <xf numFmtId="204" fontId="5" fillId="0" borderId="3" xfId="0" applyNumberFormat="1" applyFont="1" applyFill="1" applyBorder="1" applyAlignment="1">
      <alignment horizontal="center" vertical="center" wrapText="1"/>
    </xf>
    <xf numFmtId="0" fontId="0" fillId="0" borderId="0" xfId="0" applyFill="1"/>
    <xf numFmtId="204" fontId="5" fillId="0" borderId="17" xfId="0" applyNumberFormat="1" applyFont="1" applyFill="1" applyBorder="1" applyAlignment="1">
      <alignment horizontal="center" vertical="center" wrapText="1"/>
    </xf>
    <xf numFmtId="204" fontId="4" fillId="0" borderId="3" xfId="0" applyNumberFormat="1" applyFont="1" applyFill="1" applyBorder="1" applyAlignment="1">
      <alignment horizontal="center" vertical="center" wrapText="1"/>
    </xf>
    <xf numFmtId="0" fontId="4" fillId="0" borderId="17" xfId="0" applyFont="1" applyFill="1" applyBorder="1" applyAlignment="1" applyProtection="1">
      <alignment horizontal="left" vertical="center" wrapText="1"/>
      <protection locked="0"/>
    </xf>
    <xf numFmtId="0" fontId="5" fillId="0" borderId="17" xfId="0" quotePrefix="1" applyNumberFormat="1" applyFont="1" applyFill="1" applyBorder="1" applyAlignment="1">
      <alignment horizontal="center" vertical="center"/>
    </xf>
    <xf numFmtId="0" fontId="5" fillId="0" borderId="17" xfId="0" applyNumberFormat="1" applyFont="1" applyFill="1" applyBorder="1" applyAlignment="1">
      <alignment horizontal="center" vertical="center"/>
    </xf>
    <xf numFmtId="0" fontId="5" fillId="0" borderId="13" xfId="0" applyFont="1" applyFill="1" applyBorder="1" applyAlignment="1" applyProtection="1">
      <alignment horizontal="left" vertical="center" wrapText="1"/>
      <protection locked="0"/>
    </xf>
    <xf numFmtId="49" fontId="5" fillId="0" borderId="17"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204" fontId="4" fillId="0" borderId="17" xfId="0" applyNumberFormat="1" applyFont="1" applyFill="1" applyBorder="1" applyAlignment="1">
      <alignment horizontal="center" vertical="center" wrapText="1"/>
    </xf>
    <xf numFmtId="0" fontId="5" fillId="0" borderId="18" xfId="245" applyFont="1" applyFill="1" applyBorder="1" applyAlignment="1">
      <alignment horizontal="left" vertical="center" wrapText="1"/>
    </xf>
    <xf numFmtId="0" fontId="5" fillId="0" borderId="18" xfId="0" applyNumberFormat="1" applyFont="1" applyFill="1" applyBorder="1" applyAlignment="1">
      <alignment horizontal="center" vertical="center"/>
    </xf>
    <xf numFmtId="213" fontId="5" fillId="0" borderId="17"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xf>
    <xf numFmtId="204" fontId="5" fillId="0" borderId="0" xfId="0" applyNumberFormat="1" applyFont="1" applyFill="1" applyBorder="1" applyAlignment="1">
      <alignment horizontal="center" vertical="center" wrapText="1"/>
    </xf>
    <xf numFmtId="204" fontId="7" fillId="0" borderId="0" xfId="0" applyNumberFormat="1" applyFont="1" applyFill="1" applyBorder="1" applyAlignment="1">
      <alignment horizontal="center" vertical="center" wrapText="1"/>
    </xf>
    <xf numFmtId="197" fontId="7" fillId="0" borderId="0" xfId="0" applyNumberFormat="1" applyFont="1" applyFill="1" applyBorder="1" applyAlignment="1">
      <alignment horizontal="center" vertical="center" wrapText="1"/>
    </xf>
    <xf numFmtId="197" fontId="5" fillId="0" borderId="17" xfId="0" applyNumberFormat="1" applyFont="1" applyFill="1" applyBorder="1" applyAlignment="1">
      <alignment horizontal="right" vertical="center" wrapText="1"/>
    </xf>
    <xf numFmtId="197" fontId="4" fillId="0" borderId="17" xfId="0" applyNumberFormat="1" applyFont="1" applyFill="1" applyBorder="1" applyAlignment="1">
      <alignment horizontal="right" vertical="center" wrapText="1"/>
    </xf>
    <xf numFmtId="213" fontId="4" fillId="0" borderId="3"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0" borderId="15" xfId="0" applyFont="1" applyFill="1" applyBorder="1" applyAlignment="1">
      <alignment horizontal="left" vertical="center"/>
    </xf>
    <xf numFmtId="0" fontId="5" fillId="0" borderId="14" xfId="0" applyFont="1" applyFill="1" applyBorder="1" applyAlignment="1">
      <alignment horizontal="left" vertical="center"/>
    </xf>
    <xf numFmtId="0" fontId="5" fillId="0" borderId="3" xfId="0" quotePrefix="1" applyNumberFormat="1" applyFont="1" applyFill="1" applyBorder="1" applyAlignment="1">
      <alignment horizontal="center" vertical="center" wrapText="1"/>
    </xf>
    <xf numFmtId="0" fontId="4" fillId="0" borderId="3" xfId="182" applyFont="1" applyFill="1" applyBorder="1" applyAlignment="1">
      <alignment vertical="center" wrapText="1"/>
      <protection locked="0"/>
    </xf>
    <xf numFmtId="0" fontId="5" fillId="0" borderId="3" xfId="182" applyFont="1" applyFill="1" applyBorder="1" applyAlignment="1">
      <alignment vertical="center" wrapText="1"/>
      <protection locked="0"/>
    </xf>
    <xf numFmtId="0" fontId="7" fillId="0" borderId="3" xfId="182" applyFont="1" applyFill="1" applyBorder="1" applyAlignment="1">
      <alignment vertical="center" wrapText="1"/>
      <protection locked="0"/>
    </xf>
    <xf numFmtId="0" fontId="5" fillId="0" borderId="3" xfId="0" applyFont="1" applyFill="1" applyBorder="1" applyAlignment="1" applyProtection="1">
      <alignment vertical="center" wrapText="1"/>
      <protection locked="0"/>
    </xf>
    <xf numFmtId="0" fontId="4" fillId="0" borderId="3" xfId="0" applyFont="1" applyFill="1" applyBorder="1" applyAlignment="1" applyProtection="1">
      <alignment vertical="center" wrapText="1"/>
      <protection locked="0"/>
    </xf>
    <xf numFmtId="49" fontId="4" fillId="0" borderId="3" xfId="182" applyNumberFormat="1" applyFont="1" applyFill="1" applyBorder="1" applyAlignment="1">
      <alignment vertical="center" wrapText="1"/>
      <protection locked="0"/>
    </xf>
    <xf numFmtId="49" fontId="5" fillId="0" borderId="3" xfId="182" applyNumberFormat="1" applyFont="1" applyFill="1" applyBorder="1" applyAlignment="1">
      <alignment vertical="center" wrapText="1"/>
      <protection locked="0"/>
    </xf>
    <xf numFmtId="49" fontId="8" fillId="0" borderId="3" xfId="182" applyNumberFormat="1" applyFont="1" applyFill="1" applyBorder="1" applyAlignment="1">
      <alignment vertical="center" wrapText="1"/>
      <protection locked="0"/>
    </xf>
    <xf numFmtId="0" fontId="0" fillId="0" borderId="0" xfId="0" applyAlignment="1">
      <alignment vertical="top" wrapText="1"/>
    </xf>
    <xf numFmtId="0" fontId="4" fillId="0" borderId="3" xfId="0" applyFont="1" applyFill="1" applyBorder="1" applyAlignment="1">
      <alignment vertical="center" wrapText="1"/>
    </xf>
    <xf numFmtId="0" fontId="9" fillId="0" borderId="0" xfId="285"/>
    <xf numFmtId="0" fontId="66" fillId="0" borderId="3" xfId="285" applyNumberFormat="1" applyFont="1" applyBorder="1" applyAlignment="1">
      <alignment horizontal="left" vertical="top" wrapText="1"/>
    </xf>
    <xf numFmtId="0" fontId="67" fillId="0" borderId="3" xfId="285" applyNumberFormat="1" applyFont="1" applyBorder="1" applyAlignment="1">
      <alignment horizontal="left" vertical="top" wrapText="1"/>
    </xf>
    <xf numFmtId="0" fontId="68" fillId="0" borderId="3" xfId="285" applyNumberFormat="1" applyFont="1" applyBorder="1" applyAlignment="1">
      <alignment horizontal="left" vertical="top" wrapText="1"/>
    </xf>
    <xf numFmtId="219" fontId="68" fillId="0" borderId="3" xfId="285" applyNumberFormat="1" applyFont="1" applyBorder="1" applyAlignment="1">
      <alignment horizontal="right" vertical="top"/>
    </xf>
    <xf numFmtId="220" fontId="68" fillId="0" borderId="3" xfId="285" applyNumberFormat="1" applyFont="1" applyBorder="1" applyAlignment="1">
      <alignment horizontal="right" vertical="top"/>
    </xf>
    <xf numFmtId="221" fontId="68" fillId="0" borderId="3" xfId="285" applyNumberFormat="1" applyFont="1" applyBorder="1" applyAlignment="1">
      <alignment horizontal="right" vertical="top"/>
    </xf>
    <xf numFmtId="0" fontId="68" fillId="0" borderId="3" xfId="285" applyNumberFormat="1" applyFont="1" applyBorder="1" applyAlignment="1">
      <alignment horizontal="left" vertical="top" wrapText="1" indent="2"/>
    </xf>
    <xf numFmtId="222" fontId="68" fillId="0" borderId="3" xfId="285" applyNumberFormat="1" applyFont="1" applyBorder="1" applyAlignment="1">
      <alignment horizontal="right" vertical="top"/>
    </xf>
    <xf numFmtId="223" fontId="68" fillId="0" borderId="3" xfId="285" applyNumberFormat="1" applyFont="1" applyBorder="1" applyAlignment="1">
      <alignment horizontal="right" vertical="top"/>
    </xf>
    <xf numFmtId="224" fontId="68" fillId="0" borderId="3" xfId="285" applyNumberFormat="1" applyFont="1" applyBorder="1" applyAlignment="1">
      <alignment horizontal="right" vertical="top"/>
    </xf>
    <xf numFmtId="219" fontId="66" fillId="0" borderId="3" xfId="285" applyNumberFormat="1" applyFont="1" applyBorder="1" applyAlignment="1">
      <alignment horizontal="right" vertical="top"/>
    </xf>
    <xf numFmtId="220" fontId="66" fillId="0" borderId="3" xfId="285" applyNumberFormat="1" applyFont="1" applyBorder="1" applyAlignment="1">
      <alignment horizontal="right" vertical="top"/>
    </xf>
    <xf numFmtId="221" fontId="66" fillId="0" borderId="3" xfId="285" applyNumberFormat="1" applyFont="1" applyBorder="1" applyAlignment="1">
      <alignment horizontal="right" vertical="top"/>
    </xf>
    <xf numFmtId="0" fontId="9" fillId="0" borderId="3" xfId="285" applyBorder="1"/>
    <xf numFmtId="213" fontId="4" fillId="0" borderId="3" xfId="0" applyNumberFormat="1" applyFont="1" applyFill="1" applyBorder="1" applyAlignment="1">
      <alignment vertical="center" wrapText="1"/>
    </xf>
    <xf numFmtId="204" fontId="4" fillId="0" borderId="3" xfId="0" applyNumberFormat="1" applyFont="1" applyFill="1" applyBorder="1" applyAlignment="1">
      <alignment vertical="center" wrapText="1"/>
    </xf>
    <xf numFmtId="204" fontId="5" fillId="0" borderId="18" xfId="0" applyNumberFormat="1" applyFont="1" applyFill="1" applyBorder="1" applyAlignment="1">
      <alignment horizontal="center" vertical="center" wrapText="1"/>
    </xf>
    <xf numFmtId="0" fontId="5" fillId="29" borderId="0" xfId="0" applyFont="1" applyFill="1" applyBorder="1" applyAlignment="1">
      <alignment horizontal="center" vertical="center"/>
    </xf>
    <xf numFmtId="214" fontId="5" fillId="0" borderId="3" xfId="0" applyNumberFormat="1" applyFont="1" applyFill="1" applyBorder="1" applyAlignment="1">
      <alignment horizontal="center" vertical="center" wrapText="1"/>
    </xf>
    <xf numFmtId="213" fontId="5" fillId="0" borderId="3" xfId="0" applyNumberFormat="1" applyFont="1" applyFill="1" applyBorder="1" applyAlignment="1">
      <alignment horizontal="center" vertical="center" wrapText="1"/>
    </xf>
    <xf numFmtId="214" fontId="4" fillId="0" borderId="3" xfId="0" applyNumberFormat="1" applyFont="1" applyFill="1" applyBorder="1" applyAlignment="1">
      <alignment vertical="center" wrapText="1"/>
    </xf>
    <xf numFmtId="0" fontId="5" fillId="30" borderId="17" xfId="0" applyFont="1" applyFill="1" applyBorder="1" applyAlignment="1" applyProtection="1">
      <alignment horizontal="left" vertical="center" wrapText="1"/>
      <protection locked="0"/>
    </xf>
    <xf numFmtId="0" fontId="5" fillId="30" borderId="17" xfId="0" applyFont="1" applyFill="1" applyBorder="1" applyAlignment="1">
      <alignment horizontal="center" vertical="center"/>
    </xf>
    <xf numFmtId="214" fontId="5" fillId="30" borderId="17" xfId="0" applyNumberFormat="1" applyFont="1" applyFill="1" applyBorder="1" applyAlignment="1">
      <alignment horizontal="center" vertical="center" wrapText="1"/>
    </xf>
    <xf numFmtId="213" fontId="5" fillId="30" borderId="17" xfId="0" applyNumberFormat="1" applyFont="1" applyFill="1" applyBorder="1" applyAlignment="1">
      <alignment horizontal="center" vertical="center" wrapText="1"/>
    </xf>
    <xf numFmtId="213" fontId="5" fillId="30" borderId="3" xfId="0" applyNumberFormat="1" applyFont="1" applyFill="1" applyBorder="1" applyAlignment="1">
      <alignment horizontal="center" vertical="center" wrapText="1"/>
    </xf>
    <xf numFmtId="197" fontId="5" fillId="30" borderId="17" xfId="0" applyNumberFormat="1" applyFont="1" applyFill="1" applyBorder="1" applyAlignment="1">
      <alignment horizontal="right" vertical="center" wrapText="1"/>
    </xf>
    <xf numFmtId="0" fontId="5" fillId="30" borderId="3" xfId="0" applyFont="1" applyFill="1" applyBorder="1" applyAlignment="1" applyProtection="1">
      <alignment horizontal="left" vertical="center" wrapText="1"/>
      <protection locked="0"/>
    </xf>
    <xf numFmtId="0" fontId="5" fillId="30" borderId="3" xfId="0" applyFont="1" applyFill="1" applyBorder="1" applyAlignment="1">
      <alignment horizontal="center" vertical="center"/>
    </xf>
    <xf numFmtId="214" fontId="5" fillId="30" borderId="3" xfId="0" applyNumberFormat="1" applyFont="1" applyFill="1" applyBorder="1" applyAlignment="1">
      <alignment horizontal="center" vertical="center" wrapText="1"/>
    </xf>
    <xf numFmtId="0" fontId="5" fillId="30" borderId="13" xfId="0" applyFont="1" applyFill="1" applyBorder="1" applyAlignment="1" applyProtection="1">
      <alignment horizontal="left" vertical="center" wrapText="1"/>
      <protection locked="0"/>
    </xf>
    <xf numFmtId="0" fontId="5" fillId="30" borderId="13" xfId="0" applyFont="1" applyFill="1" applyBorder="1" applyAlignment="1">
      <alignment horizontal="center" vertical="center"/>
    </xf>
    <xf numFmtId="213" fontId="5" fillId="30" borderId="13" xfId="0" applyNumberFormat="1" applyFont="1" applyFill="1" applyBorder="1" applyAlignment="1">
      <alignment horizontal="center" vertical="center" wrapText="1"/>
    </xf>
    <xf numFmtId="0" fontId="5" fillId="30" borderId="18" xfId="0" applyFont="1" applyFill="1" applyBorder="1" applyAlignment="1" applyProtection="1">
      <alignment horizontal="left" vertical="center" wrapText="1"/>
      <protection locked="0"/>
    </xf>
    <xf numFmtId="213" fontId="5" fillId="30" borderId="18" xfId="0" applyNumberFormat="1" applyFont="1" applyFill="1" applyBorder="1" applyAlignment="1">
      <alignment horizontal="center" vertical="center" wrapText="1"/>
    </xf>
    <xf numFmtId="197" fontId="5" fillId="30" borderId="18" xfId="0" applyNumberFormat="1" applyFont="1" applyFill="1" applyBorder="1" applyAlignment="1">
      <alignment horizontal="right" vertical="center" wrapText="1"/>
    </xf>
    <xf numFmtId="204" fontId="5" fillId="30" borderId="17" xfId="0" applyNumberFormat="1" applyFont="1" applyFill="1" applyBorder="1" applyAlignment="1">
      <alignment horizontal="center" vertical="center" wrapText="1"/>
    </xf>
    <xf numFmtId="197" fontId="5" fillId="30" borderId="3" xfId="0" applyNumberFormat="1" applyFont="1" applyFill="1" applyBorder="1" applyAlignment="1">
      <alignment horizontal="center" vertical="center" wrapText="1"/>
    </xf>
    <xf numFmtId="204" fontId="5" fillId="30" borderId="3" xfId="0" applyNumberFormat="1" applyFont="1" applyFill="1" applyBorder="1" applyAlignment="1">
      <alignment horizontal="center" vertical="center" wrapText="1"/>
    </xf>
    <xf numFmtId="0" fontId="4" fillId="30" borderId="3" xfId="0" applyFont="1" applyFill="1" applyBorder="1" applyAlignment="1" applyProtection="1">
      <alignment horizontal="left" vertical="center" wrapText="1"/>
      <protection locked="0"/>
    </xf>
    <xf numFmtId="204" fontId="4" fillId="30" borderId="17" xfId="0" applyNumberFormat="1" applyFont="1" applyFill="1" applyBorder="1" applyAlignment="1">
      <alignment horizontal="center" vertical="center" wrapText="1"/>
    </xf>
    <xf numFmtId="204" fontId="4" fillId="30" borderId="3" xfId="0" applyNumberFormat="1" applyFont="1" applyFill="1" applyBorder="1" applyAlignment="1">
      <alignment horizontal="center" vertical="center" wrapText="1"/>
    </xf>
    <xf numFmtId="204" fontId="4" fillId="30" borderId="3" xfId="0" applyNumberFormat="1" applyFont="1" applyFill="1" applyBorder="1" applyAlignment="1">
      <alignment vertical="center" wrapText="1"/>
    </xf>
    <xf numFmtId="0" fontId="5" fillId="0" borderId="14"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31" borderId="0" xfId="0" applyFont="1" applyFill="1" applyBorder="1" applyAlignment="1">
      <alignment vertical="top" wrapText="1"/>
    </xf>
    <xf numFmtId="0" fontId="0" fillId="0" borderId="0" xfId="0" applyAlignment="1">
      <alignment wrapText="1"/>
    </xf>
    <xf numFmtId="0" fontId="0" fillId="0" borderId="22" xfId="0" applyBorder="1" applyAlignment="1">
      <alignment wrapText="1"/>
    </xf>
    <xf numFmtId="0" fontId="0" fillId="0" borderId="15" xfId="0" applyFill="1" applyBorder="1" applyAlignment="1">
      <alignment horizontal="left" vertical="center" wrapText="1"/>
    </xf>
    <xf numFmtId="0" fontId="5" fillId="0" borderId="3"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4" fillId="30" borderId="19" xfId="0" applyFont="1" applyFill="1" applyBorder="1" applyAlignment="1">
      <alignment horizontal="center" vertical="center" wrapText="1"/>
    </xf>
    <xf numFmtId="0" fontId="4" fillId="30" borderId="20" xfId="0" applyFont="1" applyFill="1" applyBorder="1" applyAlignment="1">
      <alignment horizontal="center" vertical="center" wrapText="1"/>
    </xf>
    <xf numFmtId="0" fontId="4" fillId="30" borderId="21" xfId="0" applyFont="1" applyFill="1" applyBorder="1" applyAlignment="1">
      <alignment horizontal="center" vertical="center" wrapText="1"/>
    </xf>
    <xf numFmtId="0" fontId="4" fillId="30" borderId="19" xfId="237" applyNumberFormat="1" applyFont="1" applyFill="1" applyBorder="1" applyAlignment="1">
      <alignment horizontal="center" vertical="center" wrapText="1"/>
    </xf>
    <xf numFmtId="0" fontId="4" fillId="30" borderId="20" xfId="237" applyNumberFormat="1" applyFont="1" applyFill="1" applyBorder="1" applyAlignment="1">
      <alignment horizontal="center" vertical="center" wrapText="1"/>
    </xf>
    <xf numFmtId="0" fontId="4" fillId="30" borderId="21" xfId="237" applyNumberFormat="1" applyFont="1" applyFill="1" applyBorder="1" applyAlignment="1">
      <alignment horizontal="center" vertical="center" wrapText="1"/>
    </xf>
    <xf numFmtId="0" fontId="5" fillId="0" borderId="3" xfId="245" applyFont="1" applyFill="1" applyBorder="1" applyAlignment="1">
      <alignment horizontal="center" vertical="center"/>
    </xf>
    <xf numFmtId="0" fontId="5" fillId="0" borderId="3" xfId="0" applyFont="1" applyFill="1" applyBorder="1" applyAlignment="1">
      <alignment horizontal="center" vertical="center"/>
    </xf>
    <xf numFmtId="0" fontId="4" fillId="0" borderId="19"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197" fontId="5" fillId="0" borderId="0" xfId="0" applyNumberFormat="1" applyFont="1" applyFill="1" applyBorder="1" applyAlignment="1">
      <alignment horizontal="center" vertical="center" wrapText="1"/>
    </xf>
    <xf numFmtId="197" fontId="5" fillId="0" borderId="0" xfId="0" quotePrefix="1" applyNumberFormat="1"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68" fillId="0" borderId="3" xfId="285" applyNumberFormat="1" applyFont="1" applyBorder="1" applyAlignment="1">
      <alignment horizontal="left" vertical="top" wrapText="1"/>
    </xf>
    <xf numFmtId="0" fontId="66" fillId="0" borderId="3" xfId="285" applyNumberFormat="1" applyFont="1" applyBorder="1" applyAlignment="1">
      <alignment horizontal="left" vertical="top"/>
    </xf>
    <xf numFmtId="0" fontId="0" fillId="0" borderId="0" xfId="0" applyAlignment="1">
      <alignment horizontal="center"/>
    </xf>
    <xf numFmtId="0" fontId="0" fillId="0" borderId="22" xfId="0" applyBorder="1" applyAlignment="1">
      <alignment horizontal="center" vertical="center" wrapText="1"/>
    </xf>
    <xf numFmtId="0" fontId="66" fillId="0" borderId="3" xfId="285" applyNumberFormat="1" applyFont="1" applyBorder="1" applyAlignment="1">
      <alignment horizontal="left" vertical="top" wrapText="1"/>
    </xf>
  </cellXfs>
  <cellStyles count="354">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Обычный_Лист1" xfId="285"/>
    <cellStyle name="Плохой 2" xfId="286"/>
    <cellStyle name="Плохой 3" xfId="287"/>
    <cellStyle name="Пояснение 2" xfId="288"/>
    <cellStyle name="Пояснение 3" xfId="289"/>
    <cellStyle name="Примечание 2" xfId="290"/>
    <cellStyle name="Примечание 3" xfId="291"/>
    <cellStyle name="Процентный 2" xfId="292"/>
    <cellStyle name="Процентный 2 10" xfId="293"/>
    <cellStyle name="Процентный 2 11" xfId="294"/>
    <cellStyle name="Процентный 2 12" xfId="295"/>
    <cellStyle name="Процентный 2 13" xfId="296"/>
    <cellStyle name="Процентный 2 14" xfId="297"/>
    <cellStyle name="Процентный 2 15" xfId="298"/>
    <cellStyle name="Процентный 2 16" xfId="299"/>
    <cellStyle name="Процентный 2 2" xfId="300"/>
    <cellStyle name="Процентный 2 3" xfId="301"/>
    <cellStyle name="Процентный 2 4" xfId="302"/>
    <cellStyle name="Процентный 2 5" xfId="303"/>
    <cellStyle name="Процентный 2 6" xfId="304"/>
    <cellStyle name="Процентный 2 7" xfId="305"/>
    <cellStyle name="Процентный 2 8" xfId="306"/>
    <cellStyle name="Процентный 2 9" xfId="307"/>
    <cellStyle name="Процентный 3" xfId="308"/>
    <cellStyle name="Процентный 4" xfId="309"/>
    <cellStyle name="Процентный 4 2" xfId="310"/>
    <cellStyle name="Связанная ячейка 2" xfId="311"/>
    <cellStyle name="Связанная ячейка 3" xfId="312"/>
    <cellStyle name="Стиль 1" xfId="313"/>
    <cellStyle name="Стиль 1 2" xfId="314"/>
    <cellStyle name="Стиль 1 3" xfId="315"/>
    <cellStyle name="Стиль 1 4" xfId="316"/>
    <cellStyle name="Стиль 1 5" xfId="317"/>
    <cellStyle name="Стиль 1 6" xfId="318"/>
    <cellStyle name="Стиль 1 7" xfId="319"/>
    <cellStyle name="Текст предупреждения 2" xfId="320"/>
    <cellStyle name="Текст предупреждения 3" xfId="321"/>
    <cellStyle name="Тысячи [0]_1.62" xfId="322"/>
    <cellStyle name="Тысячи_1.62" xfId="323"/>
    <cellStyle name="Финансовый 2" xfId="324"/>
    <cellStyle name="Финансовый 2 10" xfId="325"/>
    <cellStyle name="Финансовый 2 11" xfId="326"/>
    <cellStyle name="Финансовый 2 12" xfId="327"/>
    <cellStyle name="Финансовый 2 13" xfId="328"/>
    <cellStyle name="Финансовый 2 14" xfId="329"/>
    <cellStyle name="Финансовый 2 15" xfId="330"/>
    <cellStyle name="Финансовый 2 16" xfId="331"/>
    <cellStyle name="Финансовый 2 17" xfId="332"/>
    <cellStyle name="Финансовый 2 2" xfId="333"/>
    <cellStyle name="Финансовый 2 3" xfId="334"/>
    <cellStyle name="Финансовый 2 4" xfId="335"/>
    <cellStyle name="Финансовый 2 5" xfId="336"/>
    <cellStyle name="Финансовый 2 6" xfId="337"/>
    <cellStyle name="Финансовый 2 7" xfId="338"/>
    <cellStyle name="Финансовый 2 8" xfId="339"/>
    <cellStyle name="Финансовый 2 9" xfId="340"/>
    <cellStyle name="Финансовый 3" xfId="341"/>
    <cellStyle name="Финансовый 3 2" xfId="342"/>
    <cellStyle name="Финансовый 4" xfId="343"/>
    <cellStyle name="Финансовый 4 2" xfId="344"/>
    <cellStyle name="Финансовый 4 3" xfId="345"/>
    <cellStyle name="Финансовый 5" xfId="346"/>
    <cellStyle name="Финансовый 6" xfId="347"/>
    <cellStyle name="Финансовый 7" xfId="348"/>
    <cellStyle name="Хороший 2" xfId="349"/>
    <cellStyle name="Хороший 3" xfId="350"/>
    <cellStyle name="числовой" xfId="351"/>
    <cellStyle name="Ю" xfId="352"/>
    <cellStyle name="Ю-FreeSet_10" xfId="3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9" Type="http://schemas.openxmlformats.org/officeDocument/2006/relationships/theme" Target="theme/theme1.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34" Type="http://schemas.openxmlformats.org/officeDocument/2006/relationships/externalLink" Target="externalLinks/externalLink32.xml"/><Relationship Id="rId42" Type="http://schemas.openxmlformats.org/officeDocument/2006/relationships/calcChain" Target="calcChain.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externalLink" Target="externalLinks/externalLink31.xml"/><Relationship Id="rId38" Type="http://schemas.openxmlformats.org/officeDocument/2006/relationships/externalLink" Target="externalLinks/externalLink36.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externalLink" Target="externalLinks/externalLink30.xml"/><Relationship Id="rId37" Type="http://schemas.openxmlformats.org/officeDocument/2006/relationships/externalLink" Target="externalLinks/externalLink35.xml"/><Relationship Id="rId40"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36" Type="http://schemas.openxmlformats.org/officeDocument/2006/relationships/externalLink" Target="externalLinks/externalLink34.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externalLink" Target="externalLinks/externalLink29.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35" Type="http://schemas.openxmlformats.org/officeDocument/2006/relationships/externalLink" Target="externalLinks/externalLink3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 val="січ-лют."/>
      <sheetName val="430 сыч-лютий"/>
      <sheetName val="бер"/>
      <sheetName val="430 бер"/>
      <sheetName val="січ-бер"/>
      <sheetName val="430 сыч-бер"/>
      <sheetName val="7  Інші витрати"/>
      <sheetName val="ОСВ МСФЗ"/>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Лист1"/>
      <sheetName val="МТР все 2"/>
    </sheetNames>
    <sheetDataSet>
      <sheetData sheetId="0" refreshError="1"/>
      <sheetData sheetId="1" refreshError="1"/>
      <sheetData sheetId="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GDP"/>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s>
    <sheetDataSet>
      <sheetData sheetId="0" refreshError="1"/>
      <sheetData sheetId="1"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БАЗА  "/>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2"/>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491"/>
  <sheetViews>
    <sheetView tabSelected="1" view="pageBreakPreview" topLeftCell="A25" zoomScale="95" zoomScaleNormal="70" zoomScaleSheetLayoutView="95" workbookViewId="0">
      <selection activeCell="E164" sqref="E164"/>
    </sheetView>
  </sheetViews>
  <sheetFormatPr defaultRowHeight="18.75"/>
  <cols>
    <col min="1" max="1" width="86.140625" style="3" customWidth="1"/>
    <col min="2" max="2" width="17.140625" style="14" customWidth="1"/>
    <col min="3" max="3" width="30.7109375" style="90" customWidth="1"/>
    <col min="4" max="6" width="30.7109375" style="14" customWidth="1"/>
    <col min="7" max="7" width="25.7109375" style="14" customWidth="1"/>
    <col min="8" max="8" width="21.7109375" style="14" customWidth="1"/>
    <col min="9" max="9" width="10" style="3" customWidth="1"/>
    <col min="10" max="10" width="9.5703125" style="3" customWidth="1"/>
    <col min="11" max="16384" width="9.140625" style="3"/>
  </cols>
  <sheetData>
    <row r="1" spans="1:12" ht="18.75" customHeight="1">
      <c r="B1" s="13"/>
      <c r="C1" s="13"/>
      <c r="D1" s="13"/>
      <c r="E1" s="3"/>
      <c r="F1" s="3" t="s">
        <v>201</v>
      </c>
      <c r="G1" s="3"/>
      <c r="H1" s="3"/>
      <c r="J1" s="37"/>
      <c r="K1" s="37"/>
      <c r="L1" s="37"/>
    </row>
    <row r="2" spans="1:12" ht="18.75" customHeight="1">
      <c r="A2" s="29"/>
      <c r="C2" s="14"/>
      <c r="E2" s="3"/>
      <c r="F2" s="119" t="s">
        <v>202</v>
      </c>
      <c r="G2" s="120"/>
      <c r="H2" s="120"/>
      <c r="I2" s="70"/>
      <c r="J2" s="37"/>
      <c r="K2" s="37"/>
      <c r="L2" s="37"/>
    </row>
    <row r="3" spans="1:12" ht="18.75" customHeight="1">
      <c r="A3" s="14"/>
      <c r="C3" s="14"/>
      <c r="E3" s="28"/>
      <c r="F3" s="120"/>
      <c r="G3" s="120"/>
      <c r="H3" s="120"/>
      <c r="I3" s="70"/>
      <c r="J3" s="37"/>
      <c r="K3" s="37"/>
      <c r="L3" s="37"/>
    </row>
    <row r="4" spans="1:12" ht="18.75" customHeight="1">
      <c r="A4" s="14"/>
      <c r="C4" s="14"/>
      <c r="E4" s="28"/>
      <c r="F4" s="120"/>
      <c r="G4" s="120"/>
      <c r="H4" s="120"/>
      <c r="I4" s="70"/>
      <c r="J4" s="37"/>
      <c r="K4" s="37"/>
      <c r="L4" s="37"/>
    </row>
    <row r="5" spans="1:12" ht="18.75" customHeight="1">
      <c r="A5" s="14"/>
      <c r="C5" s="14"/>
      <c r="E5" s="28"/>
      <c r="F5" s="120"/>
      <c r="G5" s="120"/>
      <c r="H5" s="120"/>
      <c r="I5" s="70"/>
      <c r="J5" s="37"/>
      <c r="K5" s="37"/>
      <c r="L5" s="37"/>
    </row>
    <row r="6" spans="1:12" ht="20.25" customHeight="1">
      <c r="B6" s="4"/>
      <c r="C6" s="4"/>
      <c r="D6" s="4"/>
      <c r="F6" s="121"/>
      <c r="G6" s="121"/>
      <c r="H6" s="121"/>
    </row>
    <row r="7" spans="1:12" ht="20.100000000000001" customHeight="1">
      <c r="A7" s="60" t="s">
        <v>205</v>
      </c>
      <c r="B7" s="117"/>
      <c r="C7" s="117"/>
      <c r="D7" s="117"/>
      <c r="E7" s="117"/>
      <c r="F7" s="26">
        <v>2023</v>
      </c>
      <c r="G7" s="59"/>
      <c r="H7" s="6" t="s">
        <v>41</v>
      </c>
    </row>
    <row r="8" spans="1:12" ht="49.5" customHeight="1">
      <c r="A8" s="116" t="s">
        <v>204</v>
      </c>
      <c r="B8" s="117"/>
      <c r="C8" s="117"/>
      <c r="D8" s="117"/>
      <c r="E8" s="117"/>
      <c r="F8" s="118"/>
      <c r="G8" s="12" t="s">
        <v>28</v>
      </c>
      <c r="H8" s="6">
        <v>23824057</v>
      </c>
    </row>
    <row r="9" spans="1:12" ht="20.100000000000001" customHeight="1">
      <c r="A9" s="25" t="s">
        <v>11</v>
      </c>
      <c r="B9" s="117" t="s">
        <v>206</v>
      </c>
      <c r="C9" s="117"/>
      <c r="D9" s="117"/>
      <c r="E9" s="117"/>
      <c r="F9" s="26"/>
      <c r="G9" s="12" t="s">
        <v>27</v>
      </c>
      <c r="H9" s="6">
        <v>150</v>
      </c>
    </row>
    <row r="10" spans="1:12" ht="20.100000000000001" customHeight="1">
      <c r="A10" s="25" t="s">
        <v>15</v>
      </c>
      <c r="B10" s="117" t="s">
        <v>207</v>
      </c>
      <c r="C10" s="117"/>
      <c r="D10" s="117"/>
      <c r="E10" s="117"/>
      <c r="F10" s="26"/>
      <c r="G10" s="12" t="s">
        <v>26</v>
      </c>
      <c r="H10" s="6">
        <v>5910136600</v>
      </c>
    </row>
    <row r="11" spans="1:12" ht="20.100000000000001" customHeight="1">
      <c r="A11" s="30" t="s">
        <v>84</v>
      </c>
      <c r="B11" s="117" t="s">
        <v>208</v>
      </c>
      <c r="C11" s="117"/>
      <c r="D11" s="117"/>
      <c r="E11" s="117"/>
      <c r="F11" s="32"/>
      <c r="G11" s="12" t="s">
        <v>6</v>
      </c>
      <c r="H11" s="6"/>
    </row>
    <row r="12" spans="1:12" ht="20.100000000000001" customHeight="1">
      <c r="A12" s="30" t="s">
        <v>13</v>
      </c>
      <c r="B12" s="117" t="s">
        <v>209</v>
      </c>
      <c r="C12" s="117"/>
      <c r="D12" s="117"/>
      <c r="E12" s="117"/>
      <c r="F12" s="32"/>
      <c r="G12" s="12" t="s">
        <v>5</v>
      </c>
      <c r="H12" s="6"/>
    </row>
    <row r="13" spans="1:12" ht="20.100000000000001" customHeight="1">
      <c r="A13" s="30" t="s">
        <v>12</v>
      </c>
      <c r="B13" s="117" t="s">
        <v>210</v>
      </c>
      <c r="C13" s="117"/>
      <c r="D13" s="117"/>
      <c r="E13" s="117"/>
      <c r="F13" s="32"/>
      <c r="G13" s="12" t="s">
        <v>7</v>
      </c>
      <c r="H13" s="6" t="s">
        <v>203</v>
      </c>
    </row>
    <row r="14" spans="1:12" ht="20.100000000000001" customHeight="1">
      <c r="A14" s="30" t="s">
        <v>75</v>
      </c>
      <c r="B14" s="117"/>
      <c r="C14" s="117"/>
      <c r="D14" s="117"/>
      <c r="E14" s="117"/>
      <c r="F14" s="117" t="s">
        <v>33</v>
      </c>
      <c r="G14" s="118"/>
      <c r="H14" s="10"/>
    </row>
    <row r="15" spans="1:12" ht="20.100000000000001" customHeight="1">
      <c r="A15" s="30" t="s">
        <v>16</v>
      </c>
      <c r="B15" s="117" t="s">
        <v>211</v>
      </c>
      <c r="C15" s="117"/>
      <c r="D15" s="117"/>
      <c r="E15" s="117"/>
      <c r="F15" s="117" t="s">
        <v>34</v>
      </c>
      <c r="G15" s="122"/>
      <c r="H15" s="10"/>
    </row>
    <row r="16" spans="1:12" ht="20.100000000000001" customHeight="1">
      <c r="A16" s="30" t="s">
        <v>25</v>
      </c>
      <c r="B16" s="117">
        <v>1200</v>
      </c>
      <c r="C16" s="117"/>
      <c r="D16" s="117"/>
      <c r="E16" s="117"/>
      <c r="F16" s="31"/>
      <c r="G16" s="31"/>
      <c r="H16" s="31"/>
    </row>
    <row r="17" spans="1:8" ht="20.100000000000001" customHeight="1">
      <c r="A17" s="25" t="s">
        <v>8</v>
      </c>
      <c r="B17" s="117" t="s">
        <v>212</v>
      </c>
      <c r="C17" s="117"/>
      <c r="D17" s="117"/>
      <c r="E17" s="117"/>
      <c r="F17" s="27"/>
      <c r="G17" s="27"/>
      <c r="H17" s="27"/>
    </row>
    <row r="18" spans="1:8" ht="20.100000000000001" customHeight="1">
      <c r="A18" s="30" t="s">
        <v>9</v>
      </c>
      <c r="B18" s="117" t="s">
        <v>213</v>
      </c>
      <c r="C18" s="117"/>
      <c r="D18" s="117"/>
      <c r="E18" s="117"/>
      <c r="F18" s="31"/>
      <c r="G18" s="31"/>
      <c r="H18" s="31"/>
    </row>
    <row r="19" spans="1:8" ht="20.100000000000001" customHeight="1">
      <c r="A19" s="25" t="s">
        <v>10</v>
      </c>
      <c r="B19" s="117" t="s">
        <v>214</v>
      </c>
      <c r="C19" s="117"/>
      <c r="D19" s="117"/>
      <c r="E19" s="117"/>
      <c r="F19" s="27"/>
      <c r="G19" s="27"/>
      <c r="H19" s="27"/>
    </row>
    <row r="20" spans="1:8" ht="19.5" customHeight="1">
      <c r="A20" s="28"/>
      <c r="B20" s="3"/>
      <c r="C20" s="3"/>
      <c r="D20" s="3"/>
      <c r="E20" s="3"/>
      <c r="F20" s="3"/>
      <c r="G20" s="3"/>
      <c r="H20" s="3"/>
    </row>
    <row r="21" spans="1:8" ht="19.5" customHeight="1">
      <c r="A21" s="124" t="s">
        <v>38</v>
      </c>
      <c r="B21" s="124"/>
      <c r="C21" s="124"/>
      <c r="D21" s="124"/>
      <c r="E21" s="124"/>
      <c r="F21" s="124"/>
      <c r="G21" s="124"/>
      <c r="H21" s="124"/>
    </row>
    <row r="22" spans="1:8">
      <c r="A22" s="124" t="s">
        <v>197</v>
      </c>
      <c r="B22" s="124"/>
      <c r="C22" s="124"/>
      <c r="D22" s="124"/>
      <c r="E22" s="124"/>
      <c r="F22" s="124"/>
      <c r="G22" s="124"/>
      <c r="H22" s="124"/>
    </row>
    <row r="23" spans="1:8">
      <c r="A23" s="124" t="s">
        <v>534</v>
      </c>
      <c r="B23" s="124"/>
      <c r="C23" s="124"/>
      <c r="D23" s="124"/>
      <c r="E23" s="124"/>
      <c r="F23" s="124"/>
      <c r="G23" s="124"/>
      <c r="H23" s="124"/>
    </row>
    <row r="24" spans="1:8">
      <c r="A24" s="125" t="s">
        <v>39</v>
      </c>
      <c r="B24" s="125"/>
      <c r="C24" s="125"/>
      <c r="D24" s="125"/>
      <c r="E24" s="125"/>
      <c r="F24" s="125"/>
      <c r="G24" s="125"/>
      <c r="H24" s="125"/>
    </row>
    <row r="25" spans="1:8" ht="9" customHeight="1">
      <c r="A25" s="11"/>
      <c r="B25" s="11"/>
      <c r="C25" s="11"/>
      <c r="D25" s="11"/>
      <c r="E25" s="11"/>
      <c r="F25" s="11"/>
      <c r="G25" s="11"/>
      <c r="H25" s="11"/>
    </row>
    <row r="26" spans="1:8">
      <c r="A26" s="124" t="s">
        <v>35</v>
      </c>
      <c r="B26" s="124"/>
      <c r="C26" s="124"/>
      <c r="D26" s="124"/>
      <c r="E26" s="124"/>
      <c r="F26" s="124"/>
      <c r="G26" s="124"/>
      <c r="H26" s="124"/>
    </row>
    <row r="27" spans="1:8" ht="12" customHeight="1">
      <c r="B27" s="15"/>
      <c r="C27" s="15"/>
      <c r="D27" s="15"/>
      <c r="E27" s="15"/>
      <c r="F27" s="15"/>
      <c r="G27" s="15"/>
      <c r="H27" s="15"/>
    </row>
    <row r="28" spans="1:8" ht="43.5" customHeight="1">
      <c r="A28" s="133" t="s">
        <v>49</v>
      </c>
      <c r="B28" s="123" t="s">
        <v>14</v>
      </c>
      <c r="C28" s="123" t="s">
        <v>37</v>
      </c>
      <c r="D28" s="123"/>
      <c r="E28" s="132" t="s">
        <v>533</v>
      </c>
      <c r="F28" s="132"/>
      <c r="G28" s="132"/>
      <c r="H28" s="132"/>
    </row>
    <row r="29" spans="1:8" ht="44.25" customHeight="1">
      <c r="A29" s="133"/>
      <c r="B29" s="123"/>
      <c r="C29" s="7" t="s">
        <v>42</v>
      </c>
      <c r="D29" s="7" t="s">
        <v>43</v>
      </c>
      <c r="E29" s="23" t="s">
        <v>44</v>
      </c>
      <c r="F29" s="23" t="s">
        <v>40</v>
      </c>
      <c r="G29" s="23" t="s">
        <v>47</v>
      </c>
      <c r="H29" s="23" t="s">
        <v>48</v>
      </c>
    </row>
    <row r="30" spans="1:8" ht="19.5" thickBot="1">
      <c r="A30" s="6">
        <v>1</v>
      </c>
      <c r="B30" s="7">
        <v>2</v>
      </c>
      <c r="C30" s="6">
        <v>3</v>
      </c>
      <c r="D30" s="7">
        <v>4</v>
      </c>
      <c r="E30" s="6">
        <v>5</v>
      </c>
      <c r="F30" s="7">
        <v>6</v>
      </c>
      <c r="G30" s="6">
        <v>7</v>
      </c>
      <c r="H30" s="7">
        <v>8</v>
      </c>
    </row>
    <row r="31" spans="1:8" s="5" customFormat="1" ht="19.5" thickBot="1">
      <c r="A31" s="140" t="s">
        <v>21</v>
      </c>
      <c r="B31" s="141"/>
      <c r="C31" s="141"/>
      <c r="D31" s="141"/>
      <c r="E31" s="141"/>
      <c r="F31" s="141"/>
      <c r="G31" s="141"/>
      <c r="H31" s="142"/>
    </row>
    <row r="32" spans="1:8" s="5" customFormat="1" ht="20.100000000000001" customHeight="1">
      <c r="A32" s="62" t="s">
        <v>102</v>
      </c>
      <c r="B32" s="6">
        <v>1000</v>
      </c>
      <c r="C32" s="47">
        <v>325281</v>
      </c>
      <c r="D32" s="47">
        <f>D33+D41+D38</f>
        <v>385952</v>
      </c>
      <c r="E32" s="47">
        <f>E33+E38+E41</f>
        <v>94444</v>
      </c>
      <c r="F32" s="47">
        <f>F33+F41+F38</f>
        <v>100904</v>
      </c>
      <c r="G32" s="38">
        <f>F32-E32</f>
        <v>6460</v>
      </c>
      <c r="H32" s="56">
        <f t="shared" ref="H32:H95" si="0">(F32/E32)*100</f>
        <v>106.84003218838679</v>
      </c>
    </row>
    <row r="33" spans="1:10" s="5" customFormat="1" ht="20.100000000000001" customHeight="1">
      <c r="A33" s="62" t="s">
        <v>103</v>
      </c>
      <c r="B33" s="6">
        <v>1010</v>
      </c>
      <c r="C33" s="38">
        <v>304324</v>
      </c>
      <c r="D33" s="38">
        <f>D34+D35</f>
        <v>295427</v>
      </c>
      <c r="E33" s="38">
        <f>E34+E35</f>
        <v>73976</v>
      </c>
      <c r="F33" s="38">
        <f>F34+F35</f>
        <v>73908</v>
      </c>
      <c r="G33" s="38">
        <f>F33-E33</f>
        <v>-68</v>
      </c>
      <c r="H33" s="55">
        <f t="shared" si="0"/>
        <v>99.908078295663458</v>
      </c>
    </row>
    <row r="34" spans="1:10" s="5" customFormat="1" ht="20.100000000000001" customHeight="1">
      <c r="A34" s="63" t="s">
        <v>104</v>
      </c>
      <c r="B34" s="6">
        <v>1011</v>
      </c>
      <c r="C34" s="38">
        <v>303448</v>
      </c>
      <c r="D34" s="38">
        <v>294724</v>
      </c>
      <c r="E34" s="38">
        <v>73766</v>
      </c>
      <c r="F34" s="38">
        <f>D34-220968</f>
        <v>73756</v>
      </c>
      <c r="G34" s="38">
        <f>F34-E34</f>
        <v>-10</v>
      </c>
      <c r="H34" s="55">
        <f t="shared" si="0"/>
        <v>99.986443619011467</v>
      </c>
    </row>
    <row r="35" spans="1:10" s="5" customFormat="1" ht="27.75" customHeight="1">
      <c r="A35" s="63" t="s">
        <v>105</v>
      </c>
      <c r="B35" s="6">
        <v>1012</v>
      </c>
      <c r="C35" s="47">
        <v>876</v>
      </c>
      <c r="D35" s="38">
        <v>703</v>
      </c>
      <c r="E35" s="38">
        <v>210</v>
      </c>
      <c r="F35" s="38">
        <f>D35-551</f>
        <v>152</v>
      </c>
      <c r="G35" s="38">
        <f>F35-E35</f>
        <v>-58</v>
      </c>
      <c r="H35" s="55">
        <f t="shared" si="0"/>
        <v>72.38095238095238</v>
      </c>
    </row>
    <row r="36" spans="1:10" s="5" customFormat="1" ht="27.75" customHeight="1">
      <c r="A36" s="63" t="s">
        <v>529</v>
      </c>
      <c r="B36" s="6"/>
      <c r="C36" s="38"/>
      <c r="D36" s="38">
        <v>0</v>
      </c>
      <c r="E36" s="38">
        <v>34</v>
      </c>
      <c r="F36" s="38"/>
      <c r="G36" s="38"/>
      <c r="H36" s="55"/>
    </row>
    <row r="37" spans="1:10" s="5" customFormat="1" ht="20.100000000000001" customHeight="1">
      <c r="A37" s="62" t="s">
        <v>106</v>
      </c>
      <c r="B37" s="6">
        <v>1020</v>
      </c>
      <c r="C37" s="38">
        <v>39</v>
      </c>
      <c r="D37" s="38"/>
      <c r="E37" s="38"/>
      <c r="F37" s="38"/>
      <c r="G37" s="38"/>
      <c r="H37" s="55" t="e">
        <f t="shared" si="0"/>
        <v>#DIV/0!</v>
      </c>
    </row>
    <row r="38" spans="1:10" s="5" customFormat="1" ht="20.100000000000001" customHeight="1">
      <c r="A38" s="62" t="s">
        <v>107</v>
      </c>
      <c r="B38" s="6">
        <v>1030</v>
      </c>
      <c r="C38" s="38"/>
      <c r="D38" s="38">
        <f>D39+D40</f>
        <v>958</v>
      </c>
      <c r="E38" s="38">
        <f>E39+E40</f>
        <v>696</v>
      </c>
      <c r="F38" s="38">
        <f>F39+F40</f>
        <v>0</v>
      </c>
      <c r="G38" s="38">
        <f>F38-E38</f>
        <v>-696</v>
      </c>
      <c r="H38" s="38">
        <f>G38-F38</f>
        <v>-696</v>
      </c>
      <c r="I38" s="38"/>
      <c r="J38" s="38"/>
    </row>
    <row r="39" spans="1:10" s="5" customFormat="1" ht="57" customHeight="1">
      <c r="A39" s="64" t="s">
        <v>530</v>
      </c>
      <c r="B39" s="6">
        <v>1031</v>
      </c>
      <c r="C39" s="38">
        <v>39</v>
      </c>
      <c r="D39" s="38">
        <v>958</v>
      </c>
      <c r="E39" s="38">
        <v>696</v>
      </c>
      <c r="F39" s="38">
        <f>D39-958</f>
        <v>0</v>
      </c>
      <c r="G39" s="38">
        <f>F39-E39</f>
        <v>-696</v>
      </c>
      <c r="H39" s="55">
        <f t="shared" si="0"/>
        <v>0</v>
      </c>
    </row>
    <row r="40" spans="1:10" s="5" customFormat="1" ht="36.75" customHeight="1">
      <c r="A40" s="64" t="s">
        <v>215</v>
      </c>
      <c r="B40" s="6">
        <v>1032</v>
      </c>
      <c r="C40" s="39"/>
      <c r="D40" s="38"/>
      <c r="E40" s="38">
        <v>0</v>
      </c>
      <c r="F40" s="38"/>
      <c r="G40" s="38"/>
      <c r="H40" s="55" t="e">
        <f t="shared" si="0"/>
        <v>#DIV/0!</v>
      </c>
    </row>
    <row r="41" spans="1:10" s="5" customFormat="1" ht="20.100000000000001" customHeight="1">
      <c r="A41" s="62" t="s">
        <v>108</v>
      </c>
      <c r="B41" s="6">
        <v>1040</v>
      </c>
      <c r="C41" s="39">
        <v>20918</v>
      </c>
      <c r="D41" s="39">
        <f>D42+D43+D44+D45+D46</f>
        <v>89567</v>
      </c>
      <c r="E41" s="39">
        <v>19772</v>
      </c>
      <c r="F41" s="39">
        <f>F42+F43+F44+F45+F46</f>
        <v>26996</v>
      </c>
      <c r="G41" s="38">
        <f t="shared" ref="G41:G95" si="1">F41-E41</f>
        <v>7224</v>
      </c>
      <c r="H41" s="56">
        <f t="shared" si="0"/>
        <v>136.53651628565649</v>
      </c>
    </row>
    <row r="42" spans="1:10" s="5" customFormat="1" ht="20.100000000000001" customHeight="1">
      <c r="A42" s="63" t="s">
        <v>109</v>
      </c>
      <c r="B42" s="6">
        <v>1041</v>
      </c>
      <c r="C42" s="39">
        <v>25</v>
      </c>
      <c r="D42" s="38">
        <v>42</v>
      </c>
      <c r="E42" s="38">
        <v>8</v>
      </c>
      <c r="F42" s="38">
        <f>D42-29</f>
        <v>13</v>
      </c>
      <c r="G42" s="38">
        <f t="shared" si="1"/>
        <v>5</v>
      </c>
      <c r="H42" s="55">
        <f t="shared" si="0"/>
        <v>162.5</v>
      </c>
    </row>
    <row r="43" spans="1:10" s="5" customFormat="1" ht="20.100000000000001" customHeight="1">
      <c r="A43" s="63" t="s">
        <v>110</v>
      </c>
      <c r="B43" s="6">
        <v>1042</v>
      </c>
      <c r="C43" s="38">
        <v>5587</v>
      </c>
      <c r="D43" s="38">
        <f>745+4348</f>
        <v>5093</v>
      </c>
      <c r="E43" s="38">
        <v>875</v>
      </c>
      <c r="F43" s="38">
        <f>D43-3768</f>
        <v>1325</v>
      </c>
      <c r="G43" s="38">
        <f t="shared" si="1"/>
        <v>450</v>
      </c>
      <c r="H43" s="55">
        <f t="shared" si="0"/>
        <v>151.42857142857142</v>
      </c>
    </row>
    <row r="44" spans="1:10" s="5" customFormat="1" ht="20.100000000000001" customHeight="1">
      <c r="A44" s="10" t="s">
        <v>111</v>
      </c>
      <c r="B44" s="6">
        <v>1043</v>
      </c>
      <c r="C44" s="38">
        <v>34</v>
      </c>
      <c r="D44" s="38">
        <v>0</v>
      </c>
      <c r="E44" s="38">
        <v>0</v>
      </c>
      <c r="F44" s="38">
        <f>D44</f>
        <v>0</v>
      </c>
      <c r="G44" s="38">
        <f t="shared" si="1"/>
        <v>0</v>
      </c>
      <c r="H44" s="55" t="e">
        <f t="shared" si="0"/>
        <v>#DIV/0!</v>
      </c>
    </row>
    <row r="45" spans="1:10" s="5" customFormat="1" ht="20.100000000000001" customHeight="1">
      <c r="A45" s="10" t="s">
        <v>112</v>
      </c>
      <c r="B45" s="6">
        <v>1044</v>
      </c>
      <c r="C45" s="38">
        <v>9238</v>
      </c>
      <c r="D45" s="38">
        <v>78854</v>
      </c>
      <c r="E45" s="38">
        <v>12046</v>
      </c>
      <c r="F45" s="38">
        <f>D45-56020</f>
        <v>22834</v>
      </c>
      <c r="G45" s="38">
        <f t="shared" si="1"/>
        <v>10788</v>
      </c>
      <c r="H45" s="55">
        <f t="shared" si="0"/>
        <v>189.55669931927611</v>
      </c>
    </row>
    <row r="46" spans="1:10" s="5" customFormat="1" ht="45" customHeight="1">
      <c r="A46" s="65" t="s">
        <v>525</v>
      </c>
      <c r="B46" s="6">
        <v>1045</v>
      </c>
      <c r="C46" s="38">
        <v>592</v>
      </c>
      <c r="D46" s="38">
        <f>D49+D47</f>
        <v>5578</v>
      </c>
      <c r="E46" s="38">
        <f>E47+E49+E48</f>
        <v>6843</v>
      </c>
      <c r="F46" s="38">
        <f>F47+F49</f>
        <v>2824</v>
      </c>
      <c r="G46" s="38">
        <f t="shared" si="1"/>
        <v>-4019</v>
      </c>
      <c r="H46" s="55">
        <f t="shared" si="0"/>
        <v>41.268449510448633</v>
      </c>
    </row>
    <row r="47" spans="1:10" s="5" customFormat="1" ht="20.100000000000001" customHeight="1">
      <c r="A47" s="65" t="s">
        <v>216</v>
      </c>
      <c r="B47" s="6" t="s">
        <v>198</v>
      </c>
      <c r="C47" s="38">
        <v>5314</v>
      </c>
      <c r="D47" s="38">
        <f>6484-958</f>
        <v>5526</v>
      </c>
      <c r="E47" s="38">
        <v>100</v>
      </c>
      <c r="F47" s="38">
        <f>D47-2720</f>
        <v>2806</v>
      </c>
      <c r="G47" s="38">
        <f t="shared" si="1"/>
        <v>2706</v>
      </c>
      <c r="H47" s="55">
        <f t="shared" si="0"/>
        <v>2806</v>
      </c>
    </row>
    <row r="48" spans="1:10" s="5" customFormat="1" ht="20.100000000000001" customHeight="1">
      <c r="A48" s="65" t="s">
        <v>527</v>
      </c>
      <c r="B48" s="6"/>
      <c r="C48" s="38"/>
      <c r="D48" s="38"/>
      <c r="E48" s="38">
        <v>6743</v>
      </c>
      <c r="F48" s="38"/>
      <c r="G48" s="38"/>
      <c r="H48" s="55"/>
    </row>
    <row r="49" spans="1:8" s="5" customFormat="1" ht="20.100000000000001" customHeight="1">
      <c r="A49" s="65" t="s">
        <v>526</v>
      </c>
      <c r="B49" s="6" t="s">
        <v>199</v>
      </c>
      <c r="C49" s="38">
        <v>128</v>
      </c>
      <c r="D49" s="38">
        <f>5+17+30</f>
        <v>52</v>
      </c>
      <c r="E49" s="38"/>
      <c r="F49" s="38">
        <f>D49-34</f>
        <v>18</v>
      </c>
      <c r="G49" s="38">
        <f t="shared" si="1"/>
        <v>18</v>
      </c>
      <c r="H49" s="55" t="e">
        <f t="shared" si="0"/>
        <v>#DIV/0!</v>
      </c>
    </row>
    <row r="50" spans="1:8" s="5" customFormat="1" ht="20.100000000000001" customHeight="1">
      <c r="A50" s="66" t="s">
        <v>113</v>
      </c>
      <c r="B50" s="6">
        <v>2000</v>
      </c>
      <c r="C50" s="38">
        <v>350170</v>
      </c>
      <c r="D50" s="47">
        <f>D51+D77</f>
        <v>359565</v>
      </c>
      <c r="E50" s="47">
        <f>E51+E77+1</f>
        <v>94444</v>
      </c>
      <c r="F50" s="47">
        <f>F51+F77</f>
        <v>92781</v>
      </c>
      <c r="G50" s="47">
        <f t="shared" si="1"/>
        <v>-1663</v>
      </c>
      <c r="H50" s="56">
        <f t="shared" si="0"/>
        <v>98.239168184320874</v>
      </c>
    </row>
    <row r="51" spans="1:8" s="5" customFormat="1" ht="20.100000000000001" customHeight="1">
      <c r="A51" s="67" t="s">
        <v>114</v>
      </c>
      <c r="B51" s="14">
        <v>2010</v>
      </c>
      <c r="C51" s="47">
        <v>350170</v>
      </c>
      <c r="D51" s="38">
        <f>D52+D53+D54+D69+D70+D71+D75+D76</f>
        <v>359565</v>
      </c>
      <c r="E51" s="38">
        <f>E52+E53+E54+E69+E70+E71+E75+E76-1</f>
        <v>93877</v>
      </c>
      <c r="F51" s="38">
        <f>F52+F53+F54+F69+F70+F71+F75+F76</f>
        <v>92781</v>
      </c>
      <c r="G51" s="38">
        <f>G52+G53+G54+G69+G70+G71+G75+G76</f>
        <v>-1097</v>
      </c>
      <c r="H51" s="55">
        <f t="shared" si="0"/>
        <v>98.832514886500419</v>
      </c>
    </row>
    <row r="52" spans="1:8" s="5" customFormat="1" ht="20.100000000000001" customHeight="1">
      <c r="A52" s="68" t="s">
        <v>115</v>
      </c>
      <c r="B52" s="6">
        <v>2010</v>
      </c>
      <c r="C52" s="38">
        <v>222668</v>
      </c>
      <c r="D52" s="38">
        <v>221056</v>
      </c>
      <c r="E52" s="38">
        <v>59152</v>
      </c>
      <c r="F52" s="38">
        <f>D52-166695</f>
        <v>54361</v>
      </c>
      <c r="G52" s="38">
        <f>F52-E52</f>
        <v>-4791</v>
      </c>
      <c r="H52" s="55">
        <f t="shared" si="0"/>
        <v>91.900527454692991</v>
      </c>
    </row>
    <row r="53" spans="1:8" s="5" customFormat="1" ht="20.100000000000001" customHeight="1">
      <c r="A53" s="68" t="s">
        <v>116</v>
      </c>
      <c r="B53" s="6">
        <v>2011</v>
      </c>
      <c r="C53" s="38">
        <v>49120</v>
      </c>
      <c r="D53" s="38">
        <v>48463</v>
      </c>
      <c r="E53" s="38">
        <v>13013</v>
      </c>
      <c r="F53" s="38">
        <f>D53-36565</f>
        <v>11898</v>
      </c>
      <c r="G53" s="38">
        <f t="shared" si="1"/>
        <v>-1115</v>
      </c>
      <c r="H53" s="55">
        <f t="shared" si="0"/>
        <v>91.43164527779912</v>
      </c>
    </row>
    <row r="54" spans="1:8" s="5" customFormat="1" ht="20.100000000000001" customHeight="1">
      <c r="A54" s="69" t="s">
        <v>117</v>
      </c>
      <c r="B54" s="6">
        <v>2020</v>
      </c>
      <c r="C54" s="38">
        <v>40859</v>
      </c>
      <c r="D54" s="38">
        <f>D55+D57+D58+D59+D60+D61+D62</f>
        <v>54696</v>
      </c>
      <c r="E54" s="38">
        <f>E55+E57+E58+E59+E60+E61+E62</f>
        <v>12383</v>
      </c>
      <c r="F54" s="38">
        <f>F55+F57+F58+F59+F60+F61+F62</f>
        <v>18230</v>
      </c>
      <c r="G54" s="38">
        <f t="shared" si="1"/>
        <v>5847</v>
      </c>
      <c r="H54" s="55">
        <f t="shared" si="0"/>
        <v>147.21796010659776</v>
      </c>
    </row>
    <row r="55" spans="1:8" s="5" customFormat="1" ht="20.100000000000001" customHeight="1">
      <c r="A55" s="68" t="s">
        <v>118</v>
      </c>
      <c r="B55" s="6">
        <v>2021</v>
      </c>
      <c r="C55" s="38">
        <v>21744</v>
      </c>
      <c r="D55" s="38">
        <v>21294</v>
      </c>
      <c r="E55" s="38">
        <v>8093</v>
      </c>
      <c r="F55" s="38">
        <f>D55-15473</f>
        <v>5821</v>
      </c>
      <c r="G55" s="38">
        <f t="shared" si="1"/>
        <v>-2272</v>
      </c>
      <c r="H55" s="55">
        <f t="shared" si="0"/>
        <v>71.926356110218705</v>
      </c>
    </row>
    <row r="56" spans="1:8" s="5" customFormat="1" ht="20.100000000000001" customHeight="1">
      <c r="A56" s="63" t="s">
        <v>529</v>
      </c>
      <c r="B56" s="6"/>
      <c r="C56" s="38">
        <v>6748</v>
      </c>
      <c r="D56" s="38"/>
      <c r="E56" s="38">
        <v>34</v>
      </c>
      <c r="F56" s="38"/>
      <c r="G56" s="38"/>
      <c r="H56" s="55"/>
    </row>
    <row r="57" spans="1:8" s="5" customFormat="1" ht="20.100000000000001" customHeight="1">
      <c r="A57" s="68" t="s">
        <v>119</v>
      </c>
      <c r="B57" s="6">
        <v>2022</v>
      </c>
      <c r="C57" s="38"/>
      <c r="D57" s="38">
        <v>8591</v>
      </c>
      <c r="E57" s="38">
        <v>1719</v>
      </c>
      <c r="F57" s="38">
        <f>D57-6475</f>
        <v>2116</v>
      </c>
      <c r="G57" s="38">
        <f t="shared" si="1"/>
        <v>397</v>
      </c>
      <c r="H57" s="55">
        <f t="shared" si="0"/>
        <v>123.09482257126237</v>
      </c>
    </row>
    <row r="58" spans="1:8" s="5" customFormat="1" ht="20.100000000000001" customHeight="1">
      <c r="A58" s="68" t="s">
        <v>120</v>
      </c>
      <c r="B58" s="6">
        <v>2023</v>
      </c>
      <c r="C58" s="38">
        <v>7016</v>
      </c>
      <c r="D58" s="38"/>
      <c r="E58" s="38"/>
      <c r="F58" s="38"/>
      <c r="G58" s="38">
        <f t="shared" si="1"/>
        <v>0</v>
      </c>
      <c r="H58" s="55" t="e">
        <f t="shared" si="0"/>
        <v>#DIV/0!</v>
      </c>
    </row>
    <row r="59" spans="1:8" s="5" customFormat="1" ht="20.100000000000001" customHeight="1">
      <c r="A59" s="68" t="s">
        <v>121</v>
      </c>
      <c r="B59" s="6">
        <v>2024</v>
      </c>
      <c r="C59" s="38">
        <v>855</v>
      </c>
      <c r="D59" s="38">
        <f>26433-D60-D62-D76</f>
        <v>18599</v>
      </c>
      <c r="E59" s="38">
        <v>1607</v>
      </c>
      <c r="F59" s="38">
        <f>D59-11119</f>
        <v>7480</v>
      </c>
      <c r="G59" s="38">
        <f t="shared" si="1"/>
        <v>5873</v>
      </c>
      <c r="H59" s="55">
        <f t="shared" si="0"/>
        <v>465.46359676415688</v>
      </c>
    </row>
    <row r="60" spans="1:8" s="5" customFormat="1" ht="20.100000000000001" customHeight="1">
      <c r="A60" s="68" t="s">
        <v>122</v>
      </c>
      <c r="B60" s="6">
        <v>2025</v>
      </c>
      <c r="C60" s="38"/>
      <c r="D60" s="38">
        <v>822</v>
      </c>
      <c r="E60" s="38">
        <v>268</v>
      </c>
      <c r="F60" s="38">
        <f>D60-686</f>
        <v>136</v>
      </c>
      <c r="G60" s="38">
        <f t="shared" si="1"/>
        <v>-132</v>
      </c>
      <c r="H60" s="55">
        <f t="shared" si="0"/>
        <v>50.746268656716417</v>
      </c>
    </row>
    <row r="61" spans="1:8" s="5" customFormat="1" ht="20.100000000000001" customHeight="1">
      <c r="A61" s="68" t="s">
        <v>123</v>
      </c>
      <c r="B61" s="6">
        <v>2026</v>
      </c>
      <c r="C61" s="38">
        <v>4496</v>
      </c>
      <c r="D61" s="38"/>
      <c r="E61" s="38"/>
      <c r="F61" s="38"/>
      <c r="G61" s="38">
        <f t="shared" si="1"/>
        <v>0</v>
      </c>
      <c r="H61" s="55" t="e">
        <f t="shared" si="0"/>
        <v>#DIV/0!</v>
      </c>
    </row>
    <row r="62" spans="1:8" s="5" customFormat="1" ht="20.100000000000001" customHeight="1">
      <c r="A62" s="68" t="s">
        <v>124</v>
      </c>
      <c r="B62" s="6">
        <v>2027</v>
      </c>
      <c r="C62" s="38">
        <v>2215</v>
      </c>
      <c r="D62" s="38">
        <f>D63+D64+D65+D66+D67+D68</f>
        <v>5390</v>
      </c>
      <c r="E62" s="38">
        <f>E63+E64+E65+E66+E67</f>
        <v>696</v>
      </c>
      <c r="F62" s="38">
        <f>F63+F64+F65+F66+F67+F68</f>
        <v>2677</v>
      </c>
      <c r="G62" s="38">
        <f t="shared" si="1"/>
        <v>1981</v>
      </c>
      <c r="H62" s="55">
        <f t="shared" si="0"/>
        <v>384.62643678160919</v>
      </c>
    </row>
    <row r="63" spans="1:8" s="5" customFormat="1" ht="20.100000000000001" customHeight="1">
      <c r="A63" s="68" t="s">
        <v>125</v>
      </c>
      <c r="B63" s="6">
        <v>2028</v>
      </c>
      <c r="C63" s="38">
        <v>246</v>
      </c>
      <c r="D63" s="38">
        <v>2616</v>
      </c>
      <c r="E63" s="38">
        <v>0</v>
      </c>
      <c r="F63" s="38">
        <f>D63-1267</f>
        <v>1349</v>
      </c>
      <c r="G63" s="38">
        <f t="shared" si="1"/>
        <v>1349</v>
      </c>
      <c r="H63" s="55" t="e">
        <f t="shared" si="0"/>
        <v>#DIV/0!</v>
      </c>
    </row>
    <row r="64" spans="1:8" s="5" customFormat="1" ht="20.100000000000001" customHeight="1">
      <c r="A64" s="68" t="s">
        <v>126</v>
      </c>
      <c r="B64" s="6">
        <v>2029</v>
      </c>
      <c r="C64" s="38">
        <v>1699</v>
      </c>
      <c r="D64" s="38">
        <v>333</v>
      </c>
      <c r="E64" s="38">
        <v>80</v>
      </c>
      <c r="F64" s="38">
        <f>D64-167</f>
        <v>166</v>
      </c>
      <c r="G64" s="38">
        <f t="shared" si="1"/>
        <v>86</v>
      </c>
      <c r="H64" s="55">
        <f t="shared" si="0"/>
        <v>207.50000000000003</v>
      </c>
    </row>
    <row r="65" spans="1:8" s="5" customFormat="1" ht="20.100000000000001" customHeight="1">
      <c r="A65" s="68" t="s">
        <v>127</v>
      </c>
      <c r="B65" s="6">
        <v>2030</v>
      </c>
      <c r="C65" s="38">
        <v>97</v>
      </c>
      <c r="D65" s="38">
        <v>2134</v>
      </c>
      <c r="E65" s="38">
        <v>586</v>
      </c>
      <c r="F65" s="38">
        <f>D65-1108</f>
        <v>1026</v>
      </c>
      <c r="G65" s="38">
        <f t="shared" si="1"/>
        <v>440</v>
      </c>
      <c r="H65" s="55">
        <f t="shared" si="0"/>
        <v>175.08532423208192</v>
      </c>
    </row>
    <row r="66" spans="1:8" s="5" customFormat="1" ht="20.100000000000001" customHeight="1">
      <c r="A66" s="68" t="s">
        <v>128</v>
      </c>
      <c r="B66" s="6">
        <v>2031</v>
      </c>
      <c r="C66" s="38">
        <v>239</v>
      </c>
      <c r="D66" s="38">
        <v>88</v>
      </c>
      <c r="E66" s="38">
        <v>17</v>
      </c>
      <c r="F66" s="38">
        <f>D66-49</f>
        <v>39</v>
      </c>
      <c r="G66" s="38">
        <f t="shared" si="1"/>
        <v>22</v>
      </c>
      <c r="H66" s="55">
        <f t="shared" si="0"/>
        <v>229.41176470588235</v>
      </c>
    </row>
    <row r="67" spans="1:8" s="5" customFormat="1" ht="20.100000000000001" customHeight="1">
      <c r="A67" s="68" t="s">
        <v>129</v>
      </c>
      <c r="B67" s="6">
        <v>2032</v>
      </c>
      <c r="C67" s="38"/>
      <c r="D67" s="38">
        <v>219</v>
      </c>
      <c r="E67" s="38">
        <v>13</v>
      </c>
      <c r="F67" s="38">
        <f>D67-122</f>
        <v>97</v>
      </c>
      <c r="G67" s="38">
        <f t="shared" si="1"/>
        <v>84</v>
      </c>
      <c r="H67" s="55">
        <f t="shared" si="0"/>
        <v>746.15384615384619</v>
      </c>
    </row>
    <row r="68" spans="1:8" s="5" customFormat="1" ht="20.100000000000001" customHeight="1">
      <c r="A68" s="68" t="s">
        <v>130</v>
      </c>
      <c r="B68" s="6">
        <v>2033</v>
      </c>
      <c r="C68" s="38"/>
      <c r="D68" s="38"/>
      <c r="E68" s="38"/>
      <c r="F68" s="38"/>
      <c r="G68" s="38">
        <f t="shared" si="1"/>
        <v>0</v>
      </c>
      <c r="H68" s="55" t="e">
        <f t="shared" si="0"/>
        <v>#DIV/0!</v>
      </c>
    </row>
    <row r="69" spans="1:8" s="5" customFormat="1" ht="20.100000000000001" customHeight="1">
      <c r="A69" s="68" t="s">
        <v>131</v>
      </c>
      <c r="B69" s="6">
        <v>2030</v>
      </c>
      <c r="C69" s="38" t="s">
        <v>537</v>
      </c>
      <c r="D69" s="38"/>
      <c r="E69" s="38"/>
      <c r="F69" s="38"/>
      <c r="G69" s="38">
        <f t="shared" si="1"/>
        <v>0</v>
      </c>
      <c r="H69" s="55" t="e">
        <f t="shared" si="0"/>
        <v>#DIV/0!</v>
      </c>
    </row>
    <row r="70" spans="1:8" s="5" customFormat="1" ht="20.100000000000001" customHeight="1">
      <c r="A70" s="68" t="s">
        <v>132</v>
      </c>
      <c r="B70" s="6">
        <v>2040</v>
      </c>
      <c r="C70" s="38"/>
      <c r="D70" s="38"/>
      <c r="E70" s="38"/>
      <c r="F70" s="38"/>
      <c r="G70" s="38">
        <f t="shared" si="1"/>
        <v>0</v>
      </c>
      <c r="H70" s="55" t="e">
        <f t="shared" si="0"/>
        <v>#DIV/0!</v>
      </c>
    </row>
    <row r="71" spans="1:8" s="5" customFormat="1" ht="20.100000000000001" customHeight="1">
      <c r="A71" s="68" t="s">
        <v>133</v>
      </c>
      <c r="B71" s="6">
        <v>2050</v>
      </c>
      <c r="C71" s="38"/>
      <c r="D71" s="38">
        <f>D72+D73+D74</f>
        <v>0</v>
      </c>
      <c r="E71" s="38">
        <f>E72+E73+E74</f>
        <v>0</v>
      </c>
      <c r="F71" s="38">
        <f>F72+F73+F74</f>
        <v>0</v>
      </c>
      <c r="G71" s="38">
        <f t="shared" si="1"/>
        <v>0</v>
      </c>
      <c r="H71" s="55" t="e">
        <f t="shared" si="0"/>
        <v>#DIV/0!</v>
      </c>
    </row>
    <row r="72" spans="1:8" s="5" customFormat="1" ht="20.100000000000001" customHeight="1">
      <c r="A72" s="68" t="s">
        <v>134</v>
      </c>
      <c r="B72" s="6">
        <v>2051</v>
      </c>
      <c r="C72" s="38"/>
      <c r="D72" s="38"/>
      <c r="E72" s="38"/>
      <c r="F72" s="38"/>
      <c r="G72" s="38">
        <f t="shared" si="1"/>
        <v>0</v>
      </c>
      <c r="H72" s="55" t="e">
        <f t="shared" si="0"/>
        <v>#DIV/0!</v>
      </c>
    </row>
    <row r="73" spans="1:8" s="5" customFormat="1" ht="20.100000000000001" customHeight="1">
      <c r="A73" s="68" t="s">
        <v>135</v>
      </c>
      <c r="B73" s="6">
        <v>2052</v>
      </c>
      <c r="C73" s="38"/>
      <c r="D73" s="38"/>
      <c r="E73" s="38"/>
      <c r="F73" s="38"/>
      <c r="G73" s="38">
        <f t="shared" si="1"/>
        <v>0</v>
      </c>
      <c r="H73" s="55" t="e">
        <f t="shared" si="0"/>
        <v>#DIV/0!</v>
      </c>
    </row>
    <row r="74" spans="1:8" s="5" customFormat="1" ht="20.100000000000001" customHeight="1">
      <c r="A74" s="68" t="s">
        <v>153</v>
      </c>
      <c r="B74" s="6">
        <v>2053</v>
      </c>
      <c r="C74" s="38"/>
      <c r="D74" s="38"/>
      <c r="E74" s="38"/>
      <c r="F74" s="38"/>
      <c r="G74" s="38">
        <f t="shared" si="1"/>
        <v>0</v>
      </c>
      <c r="H74" s="55" t="e">
        <f t="shared" si="0"/>
        <v>#DIV/0!</v>
      </c>
    </row>
    <row r="75" spans="1:8" s="5" customFormat="1" ht="20.100000000000001" customHeight="1">
      <c r="A75" s="68" t="s">
        <v>4</v>
      </c>
      <c r="B75" s="6">
        <v>2060</v>
      </c>
      <c r="C75" s="38">
        <v>28170</v>
      </c>
      <c r="D75" s="38">
        <v>33728</v>
      </c>
      <c r="E75" s="38">
        <v>9330</v>
      </c>
      <c r="F75" s="38">
        <f>D75-25436</f>
        <v>8292</v>
      </c>
      <c r="G75" s="38">
        <f t="shared" si="1"/>
        <v>-1038</v>
      </c>
      <c r="H75" s="55">
        <f t="shared" si="0"/>
        <v>88.874598070739552</v>
      </c>
    </row>
    <row r="76" spans="1:8" s="5" customFormat="1" ht="42.75" customHeight="1">
      <c r="A76" s="68" t="s">
        <v>532</v>
      </c>
      <c r="B76" s="6">
        <v>2070</v>
      </c>
      <c r="C76" s="38">
        <v>9353</v>
      </c>
      <c r="D76" s="38">
        <v>1622</v>
      </c>
      <c r="E76" s="38"/>
      <c r="F76" s="38">
        <f>D76-1622</f>
        <v>0</v>
      </c>
      <c r="G76" s="38">
        <f t="shared" si="1"/>
        <v>0</v>
      </c>
      <c r="H76" s="55" t="e">
        <f t="shared" si="0"/>
        <v>#DIV/0!</v>
      </c>
    </row>
    <row r="77" spans="1:8" s="5" customFormat="1" ht="20.100000000000001" customHeight="1">
      <c r="A77" s="67" t="s">
        <v>136</v>
      </c>
      <c r="B77" s="6">
        <v>2100</v>
      </c>
      <c r="C77" s="39" t="s">
        <v>537</v>
      </c>
      <c r="D77" s="39">
        <f>D78+D79+D82+D85+D89+D90</f>
        <v>0</v>
      </c>
      <c r="E77" s="39">
        <f>E78+E79+E82+E85+E89+E90+E91</f>
        <v>566</v>
      </c>
      <c r="F77" s="39">
        <f>F78+F79+F82+F85+F89+F90</f>
        <v>0</v>
      </c>
      <c r="G77" s="38">
        <f t="shared" si="1"/>
        <v>-566</v>
      </c>
      <c r="H77" s="56">
        <f t="shared" si="0"/>
        <v>0</v>
      </c>
    </row>
    <row r="78" spans="1:8" s="5" customFormat="1" ht="20.100000000000001" customHeight="1">
      <c r="A78" s="68" t="s">
        <v>137</v>
      </c>
      <c r="B78" s="6">
        <v>2110</v>
      </c>
      <c r="C78" s="57"/>
      <c r="D78" s="39"/>
      <c r="E78" s="39">
        <v>420</v>
      </c>
      <c r="F78" s="39"/>
      <c r="G78" s="38">
        <f t="shared" si="1"/>
        <v>-420</v>
      </c>
      <c r="H78" s="56">
        <f t="shared" si="0"/>
        <v>0</v>
      </c>
    </row>
    <row r="79" spans="1:8" s="5" customFormat="1">
      <c r="A79" s="68" t="s">
        <v>138</v>
      </c>
      <c r="B79" s="6">
        <v>2120</v>
      </c>
      <c r="C79" s="38"/>
      <c r="D79" s="57">
        <f>D80+D81</f>
        <v>0</v>
      </c>
      <c r="E79" s="39">
        <f>E80+E81</f>
        <v>0</v>
      </c>
      <c r="F79" s="57">
        <f>F80+F81</f>
        <v>0</v>
      </c>
      <c r="G79" s="38">
        <f t="shared" si="1"/>
        <v>0</v>
      </c>
      <c r="H79" s="56" t="e">
        <f t="shared" si="0"/>
        <v>#DIV/0!</v>
      </c>
    </row>
    <row r="80" spans="1:8" s="5" customFormat="1" ht="20.100000000000001" customHeight="1">
      <c r="A80" s="68" t="s">
        <v>139</v>
      </c>
      <c r="B80" s="6">
        <v>2121</v>
      </c>
      <c r="C80" s="38" t="s">
        <v>537</v>
      </c>
      <c r="D80" s="38"/>
      <c r="E80" s="38"/>
      <c r="F80" s="38"/>
      <c r="G80" s="38">
        <f t="shared" si="1"/>
        <v>0</v>
      </c>
      <c r="H80" s="55" t="e">
        <f t="shared" si="0"/>
        <v>#DIV/0!</v>
      </c>
    </row>
    <row r="81" spans="1:8" s="5" customFormat="1">
      <c r="A81" s="68" t="s">
        <v>140</v>
      </c>
      <c r="B81" s="6">
        <v>2122</v>
      </c>
      <c r="C81" s="38"/>
      <c r="D81" s="38"/>
      <c r="E81" s="38">
        <v>0</v>
      </c>
      <c r="F81" s="38"/>
      <c r="G81" s="38">
        <f t="shared" si="1"/>
        <v>0</v>
      </c>
      <c r="H81" s="55" t="e">
        <f t="shared" si="0"/>
        <v>#DIV/0!</v>
      </c>
    </row>
    <row r="82" spans="1:8" s="5" customFormat="1" ht="20.100000000000001" customHeight="1">
      <c r="A82" s="68" t="s">
        <v>141</v>
      </c>
      <c r="B82" s="6">
        <v>2130</v>
      </c>
      <c r="C82" s="38"/>
      <c r="D82" s="38">
        <f>D83+D84</f>
        <v>0</v>
      </c>
      <c r="E82" s="38">
        <v>100</v>
      </c>
      <c r="F82" s="38">
        <f>F83+F84</f>
        <v>0</v>
      </c>
      <c r="G82" s="38">
        <f t="shared" si="1"/>
        <v>-100</v>
      </c>
      <c r="H82" s="55">
        <f t="shared" si="0"/>
        <v>0</v>
      </c>
    </row>
    <row r="83" spans="1:8" s="5" customFormat="1" ht="20.100000000000001" customHeight="1">
      <c r="A83" s="68" t="s">
        <v>142</v>
      </c>
      <c r="B83" s="6">
        <v>2131</v>
      </c>
      <c r="C83" s="38" t="s">
        <v>537</v>
      </c>
      <c r="D83" s="38"/>
      <c r="E83" s="38"/>
      <c r="F83" s="38"/>
      <c r="G83" s="38">
        <f t="shared" si="1"/>
        <v>0</v>
      </c>
      <c r="H83" s="55" t="e">
        <f t="shared" si="0"/>
        <v>#DIV/0!</v>
      </c>
    </row>
    <row r="84" spans="1:8" s="5" customFormat="1" ht="20.100000000000001" customHeight="1">
      <c r="A84" s="68" t="s">
        <v>143</v>
      </c>
      <c r="B84" s="6">
        <v>2132</v>
      </c>
      <c r="C84" s="38"/>
      <c r="D84" s="38"/>
      <c r="E84" s="38">
        <v>100</v>
      </c>
      <c r="F84" s="38"/>
      <c r="G84" s="38">
        <f t="shared" si="1"/>
        <v>-100</v>
      </c>
      <c r="H84" s="55">
        <f t="shared" si="0"/>
        <v>0</v>
      </c>
    </row>
    <row r="85" spans="1:8" s="5" customFormat="1" ht="20.100000000000001" customHeight="1">
      <c r="A85" s="68" t="s">
        <v>144</v>
      </c>
      <c r="B85" s="6">
        <v>2140</v>
      </c>
      <c r="C85" s="38"/>
      <c r="D85" s="38">
        <f>D86+D87+D88</f>
        <v>0</v>
      </c>
      <c r="E85" s="38"/>
      <c r="F85" s="38">
        <f>F86+F87+F88</f>
        <v>0</v>
      </c>
      <c r="G85" s="38">
        <f t="shared" si="1"/>
        <v>0</v>
      </c>
      <c r="H85" s="55" t="e">
        <f t="shared" si="0"/>
        <v>#DIV/0!</v>
      </c>
    </row>
    <row r="86" spans="1:8" s="5" customFormat="1" ht="20.100000000000001" customHeight="1">
      <c r="A86" s="68" t="s">
        <v>145</v>
      </c>
      <c r="B86" s="6">
        <v>2141</v>
      </c>
      <c r="C86" s="38"/>
      <c r="D86" s="38"/>
      <c r="E86" s="38"/>
      <c r="F86" s="38"/>
      <c r="G86" s="38">
        <f t="shared" si="1"/>
        <v>0</v>
      </c>
      <c r="H86" s="55" t="e">
        <f t="shared" si="0"/>
        <v>#DIV/0!</v>
      </c>
    </row>
    <row r="87" spans="1:8" s="5" customFormat="1" ht="20.100000000000001" customHeight="1">
      <c r="A87" s="68" t="s">
        <v>146</v>
      </c>
      <c r="B87" s="6">
        <v>2142</v>
      </c>
      <c r="C87" s="39"/>
      <c r="D87" s="38"/>
      <c r="E87" s="38"/>
      <c r="F87" s="38"/>
      <c r="G87" s="38">
        <f t="shared" si="1"/>
        <v>0</v>
      </c>
      <c r="H87" s="55" t="e">
        <f t="shared" si="0"/>
        <v>#DIV/0!</v>
      </c>
    </row>
    <row r="88" spans="1:8" s="5" customFormat="1" ht="20.100000000000001" customHeight="1">
      <c r="A88" s="68" t="s">
        <v>147</v>
      </c>
      <c r="B88" s="6">
        <v>2143</v>
      </c>
      <c r="C88" s="38"/>
      <c r="D88" s="39"/>
      <c r="E88" s="39"/>
      <c r="F88" s="39"/>
      <c r="G88" s="38">
        <f t="shared" si="1"/>
        <v>0</v>
      </c>
      <c r="H88" s="56" t="e">
        <f t="shared" si="0"/>
        <v>#DIV/0!</v>
      </c>
    </row>
    <row r="89" spans="1:8" s="5" customFormat="1" ht="20.100000000000001" customHeight="1">
      <c r="A89" s="68" t="s">
        <v>148</v>
      </c>
      <c r="B89" s="6">
        <v>2150</v>
      </c>
      <c r="C89" s="38"/>
      <c r="D89" s="38"/>
      <c r="E89" s="38"/>
      <c r="F89" s="38"/>
      <c r="G89" s="38">
        <f t="shared" si="1"/>
        <v>0</v>
      </c>
      <c r="H89" s="55" t="e">
        <f t="shared" si="0"/>
        <v>#DIV/0!</v>
      </c>
    </row>
    <row r="90" spans="1:8" s="5" customFormat="1" ht="20.100000000000001" customHeight="1">
      <c r="A90" s="68" t="s">
        <v>149</v>
      </c>
      <c r="B90" s="6">
        <v>2160</v>
      </c>
      <c r="C90" s="38"/>
      <c r="D90" s="38"/>
      <c r="E90" s="38"/>
      <c r="F90" s="38"/>
      <c r="G90" s="38">
        <f t="shared" si="1"/>
        <v>0</v>
      </c>
      <c r="H90" s="55" t="e">
        <f t="shared" si="0"/>
        <v>#DIV/0!</v>
      </c>
    </row>
    <row r="91" spans="1:8" s="5" customFormat="1" ht="20.100000000000001" customHeight="1">
      <c r="A91" s="68" t="s">
        <v>200</v>
      </c>
      <c r="B91" s="6">
        <v>2170</v>
      </c>
      <c r="C91" s="38"/>
      <c r="D91" s="38"/>
      <c r="E91" s="38">
        <f>E92</f>
        <v>46</v>
      </c>
      <c r="F91" s="38"/>
      <c r="G91" s="38">
        <f t="shared" si="1"/>
        <v>-46</v>
      </c>
      <c r="H91" s="55">
        <f t="shared" si="0"/>
        <v>0</v>
      </c>
    </row>
    <row r="92" spans="1:8" s="5" customFormat="1" ht="20.100000000000001" customHeight="1">
      <c r="A92" s="68" t="s">
        <v>531</v>
      </c>
      <c r="B92" s="6">
        <v>2171</v>
      </c>
      <c r="C92" s="39"/>
      <c r="D92" s="38"/>
      <c r="E92" s="38">
        <v>46</v>
      </c>
      <c r="F92" s="38"/>
      <c r="G92" s="38">
        <f t="shared" si="1"/>
        <v>-46</v>
      </c>
      <c r="H92" s="55">
        <f t="shared" si="0"/>
        <v>0</v>
      </c>
    </row>
    <row r="93" spans="1:8" s="5" customFormat="1" ht="20.100000000000001" customHeight="1">
      <c r="A93" s="62" t="s">
        <v>150</v>
      </c>
      <c r="B93" s="6">
        <v>4000</v>
      </c>
      <c r="C93" s="38">
        <v>325281</v>
      </c>
      <c r="D93" s="39">
        <f>D32</f>
        <v>385952</v>
      </c>
      <c r="E93" s="39">
        <f>E32</f>
        <v>94444</v>
      </c>
      <c r="F93" s="39">
        <f>F32</f>
        <v>100904</v>
      </c>
      <c r="G93" s="38">
        <f t="shared" si="1"/>
        <v>6460</v>
      </c>
      <c r="H93" s="56">
        <f t="shared" si="0"/>
        <v>106.84003218838679</v>
      </c>
    </row>
    <row r="94" spans="1:8" s="5" customFormat="1" ht="20.100000000000001" customHeight="1">
      <c r="A94" s="62" t="s">
        <v>151</v>
      </c>
      <c r="B94" s="6">
        <v>5000</v>
      </c>
      <c r="C94" s="39">
        <v>350170</v>
      </c>
      <c r="D94" s="38">
        <f>D50</f>
        <v>359565</v>
      </c>
      <c r="E94" s="38">
        <f>E50</f>
        <v>94444</v>
      </c>
      <c r="F94" s="38">
        <f>F50</f>
        <v>92781</v>
      </c>
      <c r="G94" s="38">
        <f t="shared" si="1"/>
        <v>-1663</v>
      </c>
      <c r="H94" s="55">
        <f t="shared" si="0"/>
        <v>98.239168184320874</v>
      </c>
    </row>
    <row r="95" spans="1:8" s="5" customFormat="1" ht="20.100000000000001" customHeight="1" thickBot="1">
      <c r="A95" s="71" t="s">
        <v>152</v>
      </c>
      <c r="B95" s="6">
        <v>6000</v>
      </c>
      <c r="C95" s="39">
        <v>-24889</v>
      </c>
      <c r="D95" s="38">
        <f>D93-D94</f>
        <v>26387</v>
      </c>
      <c r="E95" s="38">
        <f>E93-E94</f>
        <v>0</v>
      </c>
      <c r="F95" s="38">
        <f>F93-F94</f>
        <v>8123</v>
      </c>
      <c r="G95" s="38">
        <f t="shared" si="1"/>
        <v>8123</v>
      </c>
      <c r="H95" s="55" t="e">
        <f t="shared" si="0"/>
        <v>#DIV/0!</v>
      </c>
    </row>
    <row r="96" spans="1:8" s="5" customFormat="1" ht="19.5" thickBot="1">
      <c r="A96" s="140" t="s">
        <v>30</v>
      </c>
      <c r="B96" s="141"/>
      <c r="C96" s="141"/>
      <c r="D96" s="141"/>
      <c r="E96" s="141"/>
      <c r="F96" s="141"/>
      <c r="G96" s="141"/>
      <c r="H96" s="142"/>
    </row>
    <row r="97" spans="1:8" s="5" customFormat="1" ht="41.25" customHeight="1">
      <c r="A97" s="24" t="s">
        <v>71</v>
      </c>
      <c r="B97" s="6">
        <v>7100</v>
      </c>
      <c r="C97" s="39">
        <v>192</v>
      </c>
      <c r="D97" s="39">
        <f>D98+D99+D100+D101</f>
        <v>158</v>
      </c>
      <c r="E97" s="39">
        <f>E98+E99+E100+E101</f>
        <v>35</v>
      </c>
      <c r="F97" s="39">
        <f>F98+F99+F100+F101</f>
        <v>31</v>
      </c>
      <c r="G97" s="39">
        <f>F97-E97</f>
        <v>-4</v>
      </c>
      <c r="H97" s="56">
        <f>(F97/E97)*100</f>
        <v>88.571428571428569</v>
      </c>
    </row>
    <row r="98" spans="1:8" s="5" customFormat="1" ht="37.5">
      <c r="A98" s="8" t="s">
        <v>85</v>
      </c>
      <c r="B98" s="6">
        <v>7110</v>
      </c>
      <c r="C98" s="36">
        <v>192</v>
      </c>
      <c r="D98" s="36">
        <v>158</v>
      </c>
      <c r="E98" s="36">
        <v>35</v>
      </c>
      <c r="F98" s="36">
        <f>D98-127</f>
        <v>31</v>
      </c>
      <c r="G98" s="39">
        <f t="shared" ref="G98:G110" si="2">F98-E98</f>
        <v>-4</v>
      </c>
      <c r="H98" s="56">
        <f t="shared" ref="H98:H110" si="3">(F98/E98)*100</f>
        <v>88.571428571428569</v>
      </c>
    </row>
    <row r="99" spans="1:8" s="5" customFormat="1" ht="37.5">
      <c r="A99" s="17" t="s">
        <v>86</v>
      </c>
      <c r="B99" s="7">
        <v>7120</v>
      </c>
      <c r="C99" s="36"/>
      <c r="D99" s="36"/>
      <c r="E99" s="36"/>
      <c r="F99" s="36"/>
      <c r="G99" s="39">
        <f t="shared" si="2"/>
        <v>0</v>
      </c>
      <c r="H99" s="56" t="e">
        <f t="shared" si="3"/>
        <v>#DIV/0!</v>
      </c>
    </row>
    <row r="100" spans="1:8" s="5" customFormat="1" ht="19.5" customHeight="1">
      <c r="A100" s="34" t="s">
        <v>23</v>
      </c>
      <c r="B100" s="7">
        <v>7130</v>
      </c>
      <c r="C100" s="36"/>
      <c r="D100" s="36"/>
      <c r="E100" s="36"/>
      <c r="F100" s="36"/>
      <c r="G100" s="39">
        <f t="shared" si="2"/>
        <v>0</v>
      </c>
      <c r="H100" s="56" t="e">
        <f t="shared" si="3"/>
        <v>#DIV/0!</v>
      </c>
    </row>
    <row r="101" spans="1:8" s="5" customFormat="1">
      <c r="A101" s="34" t="s">
        <v>76</v>
      </c>
      <c r="B101" s="7">
        <v>7140</v>
      </c>
      <c r="C101" s="36"/>
      <c r="D101" s="36"/>
      <c r="E101" s="36"/>
      <c r="F101" s="36"/>
      <c r="G101" s="39">
        <f t="shared" si="2"/>
        <v>0</v>
      </c>
      <c r="H101" s="56" t="e">
        <f t="shared" si="3"/>
        <v>#DIV/0!</v>
      </c>
    </row>
    <row r="102" spans="1:8" s="5" customFormat="1" ht="37.5">
      <c r="A102" s="33" t="s">
        <v>72</v>
      </c>
      <c r="B102" s="7">
        <v>7200</v>
      </c>
      <c r="C102" s="36">
        <v>40067</v>
      </c>
      <c r="D102" s="36">
        <f>D103+D104</f>
        <v>40230</v>
      </c>
      <c r="E102" s="36">
        <f>E103+E104</f>
        <v>10647</v>
      </c>
      <c r="F102" s="36">
        <f>F103+F104</f>
        <v>9903</v>
      </c>
      <c r="G102" s="39">
        <f t="shared" si="2"/>
        <v>-744</v>
      </c>
      <c r="H102" s="56">
        <f t="shared" si="3"/>
        <v>93.012116089039168</v>
      </c>
    </row>
    <row r="103" spans="1:8" s="5" customFormat="1">
      <c r="A103" s="8" t="s">
        <v>20</v>
      </c>
      <c r="B103" s="7">
        <v>7210</v>
      </c>
      <c r="C103" s="36">
        <v>40062</v>
      </c>
      <c r="D103" s="36">
        <v>40220</v>
      </c>
      <c r="E103" s="36">
        <v>10647</v>
      </c>
      <c r="F103" s="36">
        <f>D103-30325</f>
        <v>9895</v>
      </c>
      <c r="G103" s="39">
        <f t="shared" si="2"/>
        <v>-752</v>
      </c>
      <c r="H103" s="56">
        <f t="shared" si="3"/>
        <v>92.936977552362166</v>
      </c>
    </row>
    <row r="104" spans="1:8" s="5" customFormat="1">
      <c r="A104" s="17" t="s">
        <v>87</v>
      </c>
      <c r="B104" s="19">
        <v>7220</v>
      </c>
      <c r="C104" s="36">
        <v>5</v>
      </c>
      <c r="D104" s="36">
        <v>10</v>
      </c>
      <c r="E104" s="36"/>
      <c r="F104" s="36">
        <f>D104-2</f>
        <v>8</v>
      </c>
      <c r="G104" s="39">
        <f t="shared" si="2"/>
        <v>8</v>
      </c>
      <c r="H104" s="56" t="e">
        <f t="shared" si="3"/>
        <v>#DIV/0!</v>
      </c>
    </row>
    <row r="105" spans="1:8" s="5" customFormat="1" ht="49.5" customHeight="1">
      <c r="A105" s="33" t="s">
        <v>73</v>
      </c>
      <c r="B105" s="7">
        <v>7300</v>
      </c>
      <c r="C105" s="47">
        <v>55669</v>
      </c>
      <c r="D105" s="47">
        <f>D106+D107+D108+D109</f>
        <v>54071</v>
      </c>
      <c r="E105" s="47">
        <f>E106+E107</f>
        <v>13900</v>
      </c>
      <c r="F105" s="47">
        <f>F106+F107+F108+F109</f>
        <v>13356</v>
      </c>
      <c r="G105" s="39">
        <f t="shared" si="2"/>
        <v>-544</v>
      </c>
      <c r="H105" s="56">
        <f t="shared" si="3"/>
        <v>96.086330935251794</v>
      </c>
    </row>
    <row r="106" spans="1:8" s="5" customFormat="1" ht="25.5" customHeight="1">
      <c r="A106" s="34" t="s">
        <v>74</v>
      </c>
      <c r="B106" s="7">
        <v>7310</v>
      </c>
      <c r="C106" s="47">
        <v>49120</v>
      </c>
      <c r="D106" s="47">
        <v>48463</v>
      </c>
      <c r="E106" s="47">
        <v>13013</v>
      </c>
      <c r="F106" s="47">
        <f>D106-36565</f>
        <v>11898</v>
      </c>
      <c r="G106" s="39">
        <f t="shared" si="2"/>
        <v>-1115</v>
      </c>
      <c r="H106" s="56">
        <f t="shared" si="3"/>
        <v>91.43164527779912</v>
      </c>
    </row>
    <row r="107" spans="1:8" s="5" customFormat="1" ht="22.5" customHeight="1">
      <c r="A107" s="34" t="s">
        <v>88</v>
      </c>
      <c r="B107" s="7">
        <v>7320</v>
      </c>
      <c r="C107" s="38">
        <v>3379</v>
      </c>
      <c r="D107" s="38">
        <v>3986</v>
      </c>
      <c r="E107" s="38">
        <v>887</v>
      </c>
      <c r="F107" s="38">
        <f>D107-2528</f>
        <v>1458</v>
      </c>
      <c r="G107" s="39">
        <f t="shared" si="2"/>
        <v>571</v>
      </c>
      <c r="H107" s="56">
        <f t="shared" si="3"/>
        <v>164.37429537767756</v>
      </c>
    </row>
    <row r="108" spans="1:8" s="5" customFormat="1" ht="19.5" customHeight="1">
      <c r="A108" s="34" t="s">
        <v>89</v>
      </c>
      <c r="B108" s="7">
        <v>7330</v>
      </c>
      <c r="C108" s="38"/>
      <c r="D108" s="38"/>
      <c r="E108" s="38"/>
      <c r="F108" s="38"/>
      <c r="G108" s="39">
        <f t="shared" si="2"/>
        <v>0</v>
      </c>
      <c r="H108" s="56" t="e">
        <f t="shared" si="3"/>
        <v>#DIV/0!</v>
      </c>
    </row>
    <row r="109" spans="1:8" s="5" customFormat="1" ht="33" customHeight="1">
      <c r="A109" s="34" t="s">
        <v>91</v>
      </c>
      <c r="B109" s="7">
        <v>7340</v>
      </c>
      <c r="C109" s="38">
        <v>3170</v>
      </c>
      <c r="D109" s="38">
        <v>1622</v>
      </c>
      <c r="E109" s="38"/>
      <c r="F109" s="38">
        <f>D109-1622</f>
        <v>0</v>
      </c>
      <c r="G109" s="39">
        <f t="shared" si="2"/>
        <v>0</v>
      </c>
      <c r="H109" s="56" t="e">
        <f t="shared" si="3"/>
        <v>#DIV/0!</v>
      </c>
    </row>
    <row r="110" spans="1:8" s="5" customFormat="1" ht="22.5" customHeight="1" thickBot="1">
      <c r="A110" s="33" t="s">
        <v>90</v>
      </c>
      <c r="B110" s="7">
        <v>7000</v>
      </c>
      <c r="C110" s="47">
        <v>95928</v>
      </c>
      <c r="D110" s="47">
        <f>D105+D102+D97</f>
        <v>94459</v>
      </c>
      <c r="E110" s="47">
        <v>24583</v>
      </c>
      <c r="F110" s="47">
        <f>F105+F102+F97</f>
        <v>23290</v>
      </c>
      <c r="G110" s="39">
        <f t="shared" si="2"/>
        <v>-1293</v>
      </c>
      <c r="H110" s="56">
        <f t="shared" si="3"/>
        <v>94.740267664646311</v>
      </c>
    </row>
    <row r="111" spans="1:8" s="5" customFormat="1" ht="19.5" thickBot="1">
      <c r="A111" s="134" t="s">
        <v>96</v>
      </c>
      <c r="B111" s="135"/>
      <c r="C111" s="135"/>
      <c r="D111" s="135"/>
      <c r="E111" s="135"/>
      <c r="F111" s="135"/>
      <c r="G111" s="135"/>
      <c r="H111" s="136"/>
    </row>
    <row r="112" spans="1:8" s="5" customFormat="1" ht="20.100000000000001" customHeight="1">
      <c r="A112" s="40" t="s">
        <v>53</v>
      </c>
      <c r="B112" s="61">
        <v>8000</v>
      </c>
      <c r="C112" s="47">
        <v>68443</v>
      </c>
      <c r="D112" s="47">
        <f>D113+D114+D115+D116+D117+D118</f>
        <v>1083</v>
      </c>
      <c r="E112" s="47">
        <f>E113+E114+E115+E116+E117+E118</f>
        <v>566</v>
      </c>
      <c r="F112" s="47">
        <f>F113+F114+F115+F116+F117+F118</f>
        <v>969</v>
      </c>
      <c r="G112" s="39">
        <f>F112-E112</f>
        <v>403</v>
      </c>
      <c r="H112" s="56">
        <f>(F112/E112)*100</f>
        <v>171.20141342756185</v>
      </c>
    </row>
    <row r="113" spans="1:8" s="5" customFormat="1" ht="20.100000000000001" customHeight="1">
      <c r="A113" s="8" t="s">
        <v>0</v>
      </c>
      <c r="B113" s="58">
        <v>8010</v>
      </c>
      <c r="C113" s="38"/>
      <c r="D113" s="38"/>
      <c r="E113" s="38">
        <v>0</v>
      </c>
      <c r="F113" s="38"/>
      <c r="G113" s="39">
        <f t="shared" ref="G113:G123" si="4">F113-E113</f>
        <v>0</v>
      </c>
      <c r="H113" s="56" t="e">
        <f t="shared" ref="H113:H123" si="5">(F113/E113)*100</f>
        <v>#DIV/0!</v>
      </c>
    </row>
    <row r="114" spans="1:8" s="5" customFormat="1" ht="20.100000000000001" customHeight="1">
      <c r="A114" s="8" t="s">
        <v>1</v>
      </c>
      <c r="B114" s="61">
        <v>8020</v>
      </c>
      <c r="C114" s="38">
        <v>68443</v>
      </c>
      <c r="D114" s="38">
        <v>523</v>
      </c>
      <c r="E114" s="38">
        <v>420</v>
      </c>
      <c r="F114" s="38">
        <f>D114-111</f>
        <v>412</v>
      </c>
      <c r="G114" s="39">
        <f t="shared" si="4"/>
        <v>-8</v>
      </c>
      <c r="H114" s="56">
        <f t="shared" si="5"/>
        <v>98.095238095238088</v>
      </c>
    </row>
    <row r="115" spans="1:8" s="5" customFormat="1" ht="20.100000000000001" customHeight="1">
      <c r="A115" s="8" t="s">
        <v>17</v>
      </c>
      <c r="B115" s="58">
        <v>8030</v>
      </c>
      <c r="C115" s="38"/>
      <c r="D115" s="38">
        <v>560</v>
      </c>
      <c r="E115" s="38">
        <v>46</v>
      </c>
      <c r="F115" s="38">
        <f>D115-3</f>
        <v>557</v>
      </c>
      <c r="G115" s="39">
        <f t="shared" si="4"/>
        <v>511</v>
      </c>
      <c r="H115" s="56">
        <f t="shared" si="5"/>
        <v>1210.8695652173913</v>
      </c>
    </row>
    <row r="116" spans="1:8" s="5" customFormat="1">
      <c r="A116" s="8" t="s">
        <v>2</v>
      </c>
      <c r="B116" s="61">
        <v>8040</v>
      </c>
      <c r="C116" s="38"/>
      <c r="D116" s="38"/>
      <c r="E116" s="38"/>
      <c r="F116" s="38"/>
      <c r="G116" s="39">
        <f t="shared" si="4"/>
        <v>0</v>
      </c>
      <c r="H116" s="56" t="e">
        <f t="shared" si="5"/>
        <v>#DIV/0!</v>
      </c>
    </row>
    <row r="117" spans="1:8" s="5" customFormat="1" ht="37.5">
      <c r="A117" s="8" t="s">
        <v>18</v>
      </c>
      <c r="B117" s="58">
        <v>8050</v>
      </c>
      <c r="C117" s="38"/>
      <c r="D117" s="38"/>
      <c r="E117" s="38"/>
      <c r="F117" s="38"/>
      <c r="G117" s="39">
        <f t="shared" si="4"/>
        <v>0</v>
      </c>
      <c r="H117" s="56" t="e">
        <f t="shared" si="5"/>
        <v>#DIV/0!</v>
      </c>
    </row>
    <row r="118" spans="1:8" s="5" customFormat="1">
      <c r="A118" s="8" t="s">
        <v>56</v>
      </c>
      <c r="B118" s="21">
        <v>8060</v>
      </c>
      <c r="C118" s="38"/>
      <c r="D118" s="38"/>
      <c r="E118" s="38">
        <v>100</v>
      </c>
      <c r="F118" s="38"/>
      <c r="G118" s="39">
        <f t="shared" si="4"/>
        <v>-100</v>
      </c>
      <c r="H118" s="56">
        <f t="shared" si="5"/>
        <v>0</v>
      </c>
    </row>
    <row r="119" spans="1:8" s="5" customFormat="1" ht="20.100000000000001" customHeight="1">
      <c r="A119" s="33" t="s">
        <v>54</v>
      </c>
      <c r="B119" s="41">
        <v>8100</v>
      </c>
      <c r="C119" s="39">
        <v>68443</v>
      </c>
      <c r="D119" s="39">
        <f>D120+D121+D122+D123</f>
        <v>84004</v>
      </c>
      <c r="E119" s="39">
        <f>E120+E121+E122+E123</f>
        <v>0</v>
      </c>
      <c r="F119" s="39">
        <f>F120+F121+F122+F123</f>
        <v>26753</v>
      </c>
      <c r="G119" s="39">
        <f t="shared" si="4"/>
        <v>26753</v>
      </c>
      <c r="H119" s="56" t="e">
        <f t="shared" si="5"/>
        <v>#DIV/0!</v>
      </c>
    </row>
    <row r="120" spans="1:8" s="5" customFormat="1" ht="20.100000000000001" customHeight="1">
      <c r="A120" s="17" t="s">
        <v>77</v>
      </c>
      <c r="B120" s="42" t="s">
        <v>92</v>
      </c>
      <c r="C120" s="38"/>
      <c r="D120" s="38"/>
      <c r="E120" s="38"/>
      <c r="F120" s="38"/>
      <c r="G120" s="39">
        <f t="shared" si="4"/>
        <v>0</v>
      </c>
      <c r="H120" s="56" t="e">
        <f t="shared" si="5"/>
        <v>#DIV/0!</v>
      </c>
    </row>
    <row r="121" spans="1:8" s="5" customFormat="1" ht="20.100000000000001" customHeight="1">
      <c r="A121" s="17" t="s">
        <v>78</v>
      </c>
      <c r="B121" s="42" t="s">
        <v>93</v>
      </c>
      <c r="C121" s="38">
        <v>527</v>
      </c>
      <c r="D121" s="38">
        <v>0</v>
      </c>
      <c r="E121" s="38"/>
      <c r="F121" s="38"/>
      <c r="G121" s="39">
        <f t="shared" si="4"/>
        <v>0</v>
      </c>
      <c r="H121" s="56" t="e">
        <f t="shared" si="5"/>
        <v>#DIV/0!</v>
      </c>
    </row>
    <row r="122" spans="1:8" s="5" customFormat="1" ht="20.100000000000001" customHeight="1">
      <c r="A122" s="17" t="s">
        <v>52</v>
      </c>
      <c r="B122" s="42" t="s">
        <v>94</v>
      </c>
      <c r="C122" s="38">
        <v>1462</v>
      </c>
      <c r="D122" s="38">
        <v>1083</v>
      </c>
      <c r="E122" s="38"/>
      <c r="F122" s="38">
        <f>D122-114</f>
        <v>969</v>
      </c>
      <c r="G122" s="39">
        <f t="shared" si="4"/>
        <v>969</v>
      </c>
      <c r="H122" s="56" t="e">
        <f t="shared" si="5"/>
        <v>#DIV/0!</v>
      </c>
    </row>
    <row r="123" spans="1:8" s="5" customFormat="1" ht="20.100000000000001" customHeight="1" thickBot="1">
      <c r="A123" s="48" t="s">
        <v>528</v>
      </c>
      <c r="B123" s="49" t="s">
        <v>95</v>
      </c>
      <c r="C123" s="89">
        <v>66454</v>
      </c>
      <c r="D123" s="89">
        <v>82921</v>
      </c>
      <c r="E123" s="38"/>
      <c r="F123" s="38">
        <f>D123-57137</f>
        <v>25784</v>
      </c>
      <c r="G123" s="39">
        <f t="shared" si="4"/>
        <v>25784</v>
      </c>
      <c r="H123" s="56" t="e">
        <f t="shared" si="5"/>
        <v>#DIV/0!</v>
      </c>
    </row>
    <row r="124" spans="1:8" s="5" customFormat="1" ht="19.5" thickBot="1">
      <c r="A124" s="129" t="s">
        <v>97</v>
      </c>
      <c r="B124" s="130"/>
      <c r="C124" s="130"/>
      <c r="D124" s="130"/>
      <c r="E124" s="130"/>
      <c r="F124" s="130"/>
      <c r="G124" s="130"/>
      <c r="H124" s="131"/>
    </row>
    <row r="125" spans="1:8" s="5" customFormat="1">
      <c r="A125" s="94" t="s">
        <v>63</v>
      </c>
      <c r="B125" s="95">
        <v>9010</v>
      </c>
      <c r="C125" s="96">
        <v>0.1</v>
      </c>
      <c r="D125" s="97">
        <f>D95/D93</f>
        <v>6.8368605422435946E-2</v>
      </c>
      <c r="E125" s="97"/>
      <c r="F125" s="97"/>
      <c r="G125" s="98">
        <f>F125-E125</f>
        <v>0</v>
      </c>
      <c r="H125" s="99" t="e">
        <f>(F125/E125)*100</f>
        <v>#DIV/0!</v>
      </c>
    </row>
    <row r="126" spans="1:8" s="5" customFormat="1">
      <c r="A126" s="94" t="s">
        <v>64</v>
      </c>
      <c r="B126" s="95">
        <v>9020</v>
      </c>
      <c r="C126" s="96">
        <v>0.1</v>
      </c>
      <c r="D126" s="96">
        <f>D95/D138</f>
        <v>7.5315897485664376E-2</v>
      </c>
      <c r="E126" s="97"/>
      <c r="F126" s="97"/>
      <c r="G126" s="98">
        <f>F126-E126</f>
        <v>0</v>
      </c>
      <c r="H126" s="99" t="e">
        <f>(F126/E126)*100</f>
        <v>#DIV/0!</v>
      </c>
    </row>
    <row r="127" spans="1:8" s="5" customFormat="1">
      <c r="A127" s="100" t="s">
        <v>65</v>
      </c>
      <c r="B127" s="101">
        <v>9030</v>
      </c>
      <c r="C127" s="102">
        <v>0.04</v>
      </c>
      <c r="D127" s="102">
        <v>0.05</v>
      </c>
      <c r="E127" s="98"/>
      <c r="F127" s="98"/>
      <c r="G127" s="98">
        <f>F127-E127</f>
        <v>0</v>
      </c>
      <c r="H127" s="99" t="e">
        <f>(F127/E127)*100</f>
        <v>#DIV/0!</v>
      </c>
    </row>
    <row r="128" spans="1:8" s="5" customFormat="1">
      <c r="A128" s="103" t="s">
        <v>36</v>
      </c>
      <c r="B128" s="104">
        <v>9040</v>
      </c>
      <c r="C128" s="105">
        <v>0.9</v>
      </c>
      <c r="D128" s="105">
        <v>0.9</v>
      </c>
      <c r="E128" s="105"/>
      <c r="F128" s="105"/>
      <c r="G128" s="98">
        <f>F128-E128</f>
        <v>0</v>
      </c>
      <c r="H128" s="99" t="e">
        <f>(F128/E128)*100</f>
        <v>#DIV/0!</v>
      </c>
    </row>
    <row r="129" spans="1:8" s="5" customFormat="1" ht="21.75" customHeight="1" thickBot="1">
      <c r="A129" s="106" t="s">
        <v>66</v>
      </c>
      <c r="B129" s="104">
        <v>9050</v>
      </c>
      <c r="C129" s="107">
        <v>0.3</v>
      </c>
      <c r="D129" s="107">
        <f>D134/D133</f>
        <v>0.26580796252927402</v>
      </c>
      <c r="E129" s="107"/>
      <c r="F129" s="107"/>
      <c r="G129" s="107">
        <f>F129-E129</f>
        <v>0</v>
      </c>
      <c r="H129" s="108" t="e">
        <f>(F129/E129)*100</f>
        <v>#DIV/0!</v>
      </c>
    </row>
    <row r="130" spans="1:8" s="5" customFormat="1" ht="19.5" thickBot="1">
      <c r="A130" s="126" t="s">
        <v>98</v>
      </c>
      <c r="B130" s="127"/>
      <c r="C130" s="127"/>
      <c r="D130" s="127"/>
      <c r="E130" s="127"/>
      <c r="F130" s="127"/>
      <c r="G130" s="127"/>
      <c r="H130" s="128"/>
    </row>
    <row r="131" spans="1:8" s="5" customFormat="1" ht="20.100000000000001" customHeight="1">
      <c r="A131" s="94" t="s">
        <v>57</v>
      </c>
      <c r="B131" s="95">
        <v>10000</v>
      </c>
      <c r="C131" s="109">
        <v>253264</v>
      </c>
      <c r="D131" s="109">
        <v>298201</v>
      </c>
      <c r="E131" s="109"/>
      <c r="F131" s="110"/>
      <c r="G131" s="111">
        <f>F131-E131</f>
        <v>0</v>
      </c>
      <c r="H131" s="99" t="e">
        <f>(F131/E131)*100</f>
        <v>#DIV/0!</v>
      </c>
    </row>
    <row r="132" spans="1:8" s="5" customFormat="1" ht="20.100000000000001" customHeight="1">
      <c r="A132" s="94" t="s">
        <v>58</v>
      </c>
      <c r="B132" s="95">
        <v>10001</v>
      </c>
      <c r="C132" s="111">
        <v>246841</v>
      </c>
      <c r="D132" s="111">
        <v>294063</v>
      </c>
      <c r="E132" s="111">
        <f>E133-E134</f>
        <v>0</v>
      </c>
      <c r="F132" s="111">
        <f>F133-F134</f>
        <v>0</v>
      </c>
      <c r="G132" s="111">
        <f t="shared" ref="G132:G144" si="6">F132-E132</f>
        <v>0</v>
      </c>
      <c r="H132" s="99" t="e">
        <f t="shared" ref="H132:H144" si="7">(F132/E132)*100</f>
        <v>#DIV/0!</v>
      </c>
    </row>
    <row r="133" spans="1:8" s="5" customFormat="1" ht="20.100000000000001" customHeight="1">
      <c r="A133" s="94" t="s">
        <v>59</v>
      </c>
      <c r="B133" s="95">
        <v>10002</v>
      </c>
      <c r="C133" s="109">
        <v>329190</v>
      </c>
      <c r="D133" s="109">
        <v>400526</v>
      </c>
      <c r="E133" s="109"/>
      <c r="F133" s="110"/>
      <c r="G133" s="111">
        <f t="shared" si="6"/>
        <v>0</v>
      </c>
      <c r="H133" s="99" t="e">
        <f t="shared" si="7"/>
        <v>#DIV/0!</v>
      </c>
    </row>
    <row r="134" spans="1:8" s="5" customFormat="1" ht="20.100000000000001" customHeight="1">
      <c r="A134" s="94" t="s">
        <v>60</v>
      </c>
      <c r="B134" s="95">
        <v>10003</v>
      </c>
      <c r="C134" s="109">
        <v>82349</v>
      </c>
      <c r="D134" s="109">
        <v>106463</v>
      </c>
      <c r="E134" s="109"/>
      <c r="F134" s="110"/>
      <c r="G134" s="111">
        <f t="shared" si="6"/>
        <v>0</v>
      </c>
      <c r="H134" s="99" t="e">
        <f t="shared" si="7"/>
        <v>#DIV/0!</v>
      </c>
    </row>
    <row r="135" spans="1:8" s="5" customFormat="1" ht="20.100000000000001" customHeight="1">
      <c r="A135" s="100" t="s">
        <v>61</v>
      </c>
      <c r="B135" s="101">
        <v>10010</v>
      </c>
      <c r="C135" s="109">
        <v>55113</v>
      </c>
      <c r="D135" s="109">
        <v>52150</v>
      </c>
      <c r="E135" s="109"/>
      <c r="F135" s="110"/>
      <c r="G135" s="111">
        <f t="shared" si="6"/>
        <v>0</v>
      </c>
      <c r="H135" s="99" t="e">
        <f t="shared" si="7"/>
        <v>#DIV/0!</v>
      </c>
    </row>
    <row r="136" spans="1:8" s="5" customFormat="1">
      <c r="A136" s="100" t="s">
        <v>62</v>
      </c>
      <c r="B136" s="101">
        <v>10011</v>
      </c>
      <c r="C136" s="109">
        <v>26971</v>
      </c>
      <c r="D136" s="109">
        <v>14651</v>
      </c>
      <c r="E136" s="109"/>
      <c r="F136" s="110"/>
      <c r="G136" s="111">
        <f t="shared" si="6"/>
        <v>0</v>
      </c>
      <c r="H136" s="99" t="e">
        <f t="shared" si="7"/>
        <v>#DIV/0!</v>
      </c>
    </row>
    <row r="137" spans="1:8" s="5" customFormat="1">
      <c r="A137" s="100" t="s">
        <v>101</v>
      </c>
      <c r="B137" s="101">
        <v>10012</v>
      </c>
      <c r="C137" s="109">
        <v>16</v>
      </c>
      <c r="D137" s="109">
        <v>13</v>
      </c>
      <c r="E137" s="109"/>
      <c r="F137" s="110"/>
      <c r="G137" s="111">
        <f t="shared" si="6"/>
        <v>0</v>
      </c>
      <c r="H137" s="99" t="e">
        <f t="shared" si="7"/>
        <v>#DIV/0!</v>
      </c>
    </row>
    <row r="138" spans="1:8" s="5" customFormat="1" ht="20.100000000000001" customHeight="1">
      <c r="A138" s="112" t="s">
        <v>45</v>
      </c>
      <c r="B138" s="101">
        <v>10020</v>
      </c>
      <c r="C138" s="113">
        <v>308377</v>
      </c>
      <c r="D138" s="113">
        <v>350351</v>
      </c>
      <c r="E138" s="113">
        <f>E131+E135</f>
        <v>0</v>
      </c>
      <c r="F138" s="113">
        <f>F131+F135</f>
        <v>0</v>
      </c>
      <c r="G138" s="111">
        <f t="shared" si="6"/>
        <v>0</v>
      </c>
      <c r="H138" s="99" t="e">
        <f t="shared" si="7"/>
        <v>#DIV/0!</v>
      </c>
    </row>
    <row r="139" spans="1:8" s="5" customFormat="1" ht="20.100000000000001" customHeight="1">
      <c r="A139" s="100" t="s">
        <v>31</v>
      </c>
      <c r="B139" s="101">
        <v>10030</v>
      </c>
      <c r="C139" s="109">
        <v>5201</v>
      </c>
      <c r="D139" s="109">
        <v>0</v>
      </c>
      <c r="E139" s="109"/>
      <c r="F139" s="110"/>
      <c r="G139" s="111">
        <f t="shared" si="6"/>
        <v>0</v>
      </c>
      <c r="H139" s="99" t="e">
        <f t="shared" si="7"/>
        <v>#DIV/0!</v>
      </c>
    </row>
    <row r="140" spans="1:8" s="5" customFormat="1" ht="20.100000000000001" customHeight="1">
      <c r="A140" s="100" t="s">
        <v>32</v>
      </c>
      <c r="B140" s="101">
        <v>10040</v>
      </c>
      <c r="C140" s="109">
        <v>26279</v>
      </c>
      <c r="D140" s="109">
        <v>2130</v>
      </c>
      <c r="E140" s="109"/>
      <c r="F140" s="110"/>
      <c r="G140" s="111">
        <f t="shared" si="6"/>
        <v>0</v>
      </c>
      <c r="H140" s="99" t="e">
        <f t="shared" si="7"/>
        <v>#DIV/0!</v>
      </c>
    </row>
    <row r="141" spans="1:8" s="5" customFormat="1" ht="20.100000000000001" customHeight="1">
      <c r="A141" s="112" t="s">
        <v>46</v>
      </c>
      <c r="B141" s="101">
        <v>10050</v>
      </c>
      <c r="C141" s="114">
        <f>SUM(C139:C140)</f>
        <v>31480</v>
      </c>
      <c r="D141" s="114">
        <f>SUM(D139:D140)</f>
        <v>2130</v>
      </c>
      <c r="E141" s="114">
        <f>SUM(E139:E140)</f>
        <v>0</v>
      </c>
      <c r="F141" s="114">
        <f>SUM(F139:F140)</f>
        <v>0</v>
      </c>
      <c r="G141" s="111">
        <f t="shared" si="6"/>
        <v>0</v>
      </c>
      <c r="H141" s="99" t="e">
        <f t="shared" si="7"/>
        <v>#DIV/0!</v>
      </c>
    </row>
    <row r="142" spans="1:8" s="5" customFormat="1" ht="20.100000000000001" customHeight="1">
      <c r="A142" s="100" t="s">
        <v>79</v>
      </c>
      <c r="B142" s="101">
        <v>10060</v>
      </c>
      <c r="C142" s="109"/>
      <c r="D142" s="109"/>
      <c r="E142" s="109"/>
      <c r="F142" s="110"/>
      <c r="G142" s="111">
        <f t="shared" si="6"/>
        <v>0</v>
      </c>
      <c r="H142" s="99" t="e">
        <f t="shared" si="7"/>
        <v>#DIV/0!</v>
      </c>
    </row>
    <row r="143" spans="1:8" s="5" customFormat="1">
      <c r="A143" s="100" t="s">
        <v>80</v>
      </c>
      <c r="B143" s="101">
        <v>10070</v>
      </c>
      <c r="C143" s="109"/>
      <c r="D143" s="109"/>
      <c r="E143" s="109"/>
      <c r="F143" s="110"/>
      <c r="G143" s="111">
        <f t="shared" si="6"/>
        <v>0</v>
      </c>
      <c r="H143" s="99" t="e">
        <f t="shared" si="7"/>
        <v>#DIV/0!</v>
      </c>
    </row>
    <row r="144" spans="1:8" s="5" customFormat="1" ht="20.100000000000001" customHeight="1" thickBot="1">
      <c r="A144" s="112" t="s">
        <v>29</v>
      </c>
      <c r="B144" s="101">
        <v>10080</v>
      </c>
      <c r="C144" s="113">
        <v>308377</v>
      </c>
      <c r="D144" s="113">
        <v>350351</v>
      </c>
      <c r="E144" s="113"/>
      <c r="F144" s="110"/>
      <c r="G144" s="111">
        <f t="shared" si="6"/>
        <v>0</v>
      </c>
      <c r="H144" s="99" t="e">
        <f t="shared" si="7"/>
        <v>#DIV/0!</v>
      </c>
    </row>
    <row r="145" spans="1:8" s="5" customFormat="1" ht="19.5" thickBot="1">
      <c r="A145" s="134" t="s">
        <v>99</v>
      </c>
      <c r="B145" s="135"/>
      <c r="C145" s="135"/>
      <c r="D145" s="135"/>
      <c r="E145" s="135"/>
      <c r="F145" s="135"/>
      <c r="G145" s="135"/>
      <c r="H145" s="136"/>
    </row>
    <row r="146" spans="1:8" s="5" customFormat="1" ht="20.100000000000001" customHeight="1">
      <c r="A146" s="40" t="s">
        <v>69</v>
      </c>
      <c r="B146" s="44" t="s">
        <v>154</v>
      </c>
      <c r="C146" s="47">
        <f>SUM(C147:C149)</f>
        <v>0</v>
      </c>
      <c r="D146" s="47">
        <f>SUM(D147:D149)</f>
        <v>0</v>
      </c>
      <c r="E146" s="47">
        <f>SUM(E147:E149)</f>
        <v>0</v>
      </c>
      <c r="F146" s="47">
        <f>SUM(F147:F149)</f>
        <v>0</v>
      </c>
      <c r="G146" s="47">
        <f>F146-E146</f>
        <v>0</v>
      </c>
      <c r="H146" s="56" t="e">
        <f>(F146/E146)*100</f>
        <v>#DIV/0!</v>
      </c>
    </row>
    <row r="147" spans="1:8" s="5" customFormat="1" ht="20.100000000000001" customHeight="1">
      <c r="A147" s="34" t="s">
        <v>81</v>
      </c>
      <c r="B147" s="45" t="s">
        <v>155</v>
      </c>
      <c r="C147" s="36"/>
      <c r="D147" s="36"/>
      <c r="E147" s="38"/>
      <c r="F147" s="38"/>
      <c r="G147" s="47">
        <f t="shared" ref="G147:G153" si="8">F147-E147</f>
        <v>0</v>
      </c>
      <c r="H147" s="56" t="e">
        <f t="shared" ref="H147:H153" si="9">(F147/E147)*100</f>
        <v>#DIV/0!</v>
      </c>
    </row>
    <row r="148" spans="1:8" s="5" customFormat="1" ht="20.100000000000001" customHeight="1">
      <c r="A148" s="34" t="s">
        <v>82</v>
      </c>
      <c r="B148" s="45" t="s">
        <v>156</v>
      </c>
      <c r="C148" s="36"/>
      <c r="D148" s="36"/>
      <c r="E148" s="38"/>
      <c r="F148" s="38"/>
      <c r="G148" s="47">
        <f t="shared" si="8"/>
        <v>0</v>
      </c>
      <c r="H148" s="56" t="e">
        <f t="shared" si="9"/>
        <v>#DIV/0!</v>
      </c>
    </row>
    <row r="149" spans="1:8" s="5" customFormat="1" ht="20.100000000000001" customHeight="1">
      <c r="A149" s="34" t="s">
        <v>83</v>
      </c>
      <c r="B149" s="45" t="s">
        <v>157</v>
      </c>
      <c r="C149" s="36"/>
      <c r="D149" s="36"/>
      <c r="E149" s="38"/>
      <c r="F149" s="38"/>
      <c r="G149" s="47">
        <f t="shared" si="8"/>
        <v>0</v>
      </c>
      <c r="H149" s="56" t="e">
        <f t="shared" si="9"/>
        <v>#DIV/0!</v>
      </c>
    </row>
    <row r="150" spans="1:8" s="5" customFormat="1" ht="20.100000000000001" customHeight="1">
      <c r="A150" s="33" t="s">
        <v>70</v>
      </c>
      <c r="B150" s="45" t="s">
        <v>158</v>
      </c>
      <c r="C150" s="39">
        <f>SUM(C151:C153)</f>
        <v>0</v>
      </c>
      <c r="D150" s="39">
        <f>SUM(D151:D153)</f>
        <v>0</v>
      </c>
      <c r="E150" s="39">
        <f>SUM(E151:E153)</f>
        <v>0</v>
      </c>
      <c r="F150" s="39">
        <f>SUM(F151:F153)</f>
        <v>0</v>
      </c>
      <c r="G150" s="47">
        <f t="shared" si="8"/>
        <v>0</v>
      </c>
      <c r="H150" s="56" t="e">
        <f t="shared" si="9"/>
        <v>#DIV/0!</v>
      </c>
    </row>
    <row r="151" spans="1:8" s="5" customFormat="1" ht="20.100000000000001" customHeight="1">
      <c r="A151" s="34" t="s">
        <v>81</v>
      </c>
      <c r="B151" s="45" t="s">
        <v>159</v>
      </c>
      <c r="C151" s="36"/>
      <c r="D151" s="36"/>
      <c r="E151" s="38"/>
      <c r="F151" s="38"/>
      <c r="G151" s="47">
        <f t="shared" si="8"/>
        <v>0</v>
      </c>
      <c r="H151" s="56" t="e">
        <f t="shared" si="9"/>
        <v>#DIV/0!</v>
      </c>
    </row>
    <row r="152" spans="1:8" s="5" customFormat="1" ht="20.100000000000001" customHeight="1">
      <c r="A152" s="34" t="s">
        <v>82</v>
      </c>
      <c r="B152" s="45" t="s">
        <v>160</v>
      </c>
      <c r="C152" s="36"/>
      <c r="D152" s="36"/>
      <c r="E152" s="38"/>
      <c r="F152" s="38"/>
      <c r="G152" s="47">
        <f t="shared" si="8"/>
        <v>0</v>
      </c>
      <c r="H152" s="56" t="e">
        <f t="shared" si="9"/>
        <v>#DIV/0!</v>
      </c>
    </row>
    <row r="153" spans="1:8" s="5" customFormat="1" ht="20.100000000000001" customHeight="1" thickBot="1">
      <c r="A153" s="43" t="s">
        <v>83</v>
      </c>
      <c r="B153" s="46" t="s">
        <v>161</v>
      </c>
      <c r="C153" s="36"/>
      <c r="D153" s="36"/>
      <c r="E153" s="38"/>
      <c r="F153" s="38"/>
      <c r="G153" s="47">
        <f t="shared" si="8"/>
        <v>0</v>
      </c>
      <c r="H153" s="56" t="e">
        <f t="shared" si="9"/>
        <v>#DIV/0!</v>
      </c>
    </row>
    <row r="154" spans="1:8" s="5" customFormat="1" ht="19.5" thickBot="1">
      <c r="A154" s="140" t="s">
        <v>100</v>
      </c>
      <c r="B154" s="141"/>
      <c r="C154" s="141"/>
      <c r="D154" s="141"/>
      <c r="E154" s="141"/>
      <c r="F154" s="141"/>
      <c r="G154" s="141"/>
      <c r="H154" s="142"/>
    </row>
    <row r="155" spans="1:8" s="5" customFormat="1" ht="60.75" customHeight="1">
      <c r="A155" s="33" t="s">
        <v>67</v>
      </c>
      <c r="B155" s="45" t="s">
        <v>174</v>
      </c>
      <c r="C155" s="88">
        <v>1239</v>
      </c>
      <c r="D155" s="88">
        <f>D156+D157+D158+D159+D160+D161</f>
        <v>1194</v>
      </c>
      <c r="E155" s="93">
        <f>E156+E157+E158+E159+E160+E161</f>
        <v>1236</v>
      </c>
      <c r="F155" s="88">
        <f>F156+F157+F158+F159+F160+F161</f>
        <v>1194</v>
      </c>
      <c r="G155" s="39">
        <f>F155-E155</f>
        <v>-42</v>
      </c>
      <c r="H155" s="56">
        <f>(F155/E155)*100</f>
        <v>96.601941747572823</v>
      </c>
    </row>
    <row r="156" spans="1:8" s="5" customFormat="1">
      <c r="A156" s="8" t="s">
        <v>51</v>
      </c>
      <c r="B156" s="45" t="s">
        <v>175</v>
      </c>
      <c r="C156" s="110">
        <v>1</v>
      </c>
      <c r="D156" s="35">
        <v>1</v>
      </c>
      <c r="E156" s="91">
        <v>1</v>
      </c>
      <c r="F156" s="35">
        <v>1</v>
      </c>
      <c r="G156" s="39">
        <f t="shared" ref="G156:G182" si="10">F156-E156</f>
        <v>0</v>
      </c>
      <c r="H156" s="56">
        <f t="shared" ref="H156:H183" si="11">(F156/E156)*100</f>
        <v>100</v>
      </c>
    </row>
    <row r="157" spans="1:8" s="5" customFormat="1">
      <c r="A157" s="8" t="s">
        <v>50</v>
      </c>
      <c r="B157" s="45" t="s">
        <v>176</v>
      </c>
      <c r="C157" s="110">
        <v>9</v>
      </c>
      <c r="D157" s="35">
        <v>8</v>
      </c>
      <c r="E157" s="91">
        <v>8</v>
      </c>
      <c r="F157" s="35">
        <v>8</v>
      </c>
      <c r="G157" s="39">
        <f t="shared" si="10"/>
        <v>0</v>
      </c>
      <c r="H157" s="56">
        <f t="shared" si="11"/>
        <v>100</v>
      </c>
    </row>
    <row r="158" spans="1:8" s="5" customFormat="1">
      <c r="A158" s="8" t="s">
        <v>162</v>
      </c>
      <c r="B158" s="45" t="s">
        <v>177</v>
      </c>
      <c r="C158" s="110">
        <v>85</v>
      </c>
      <c r="D158" s="35">
        <v>80</v>
      </c>
      <c r="E158" s="91">
        <v>81</v>
      </c>
      <c r="F158" s="35">
        <v>80</v>
      </c>
      <c r="G158" s="39">
        <f t="shared" si="10"/>
        <v>-1</v>
      </c>
      <c r="H158" s="56">
        <f t="shared" si="11"/>
        <v>98.76543209876543</v>
      </c>
    </row>
    <row r="159" spans="1:8" s="5" customFormat="1">
      <c r="A159" s="8" t="s">
        <v>163</v>
      </c>
      <c r="B159" s="45" t="s">
        <v>178</v>
      </c>
      <c r="C159" s="110">
        <v>581</v>
      </c>
      <c r="D159" s="35">
        <v>521</v>
      </c>
      <c r="E159" s="91">
        <v>580</v>
      </c>
      <c r="F159" s="35">
        <v>521</v>
      </c>
      <c r="G159" s="39">
        <f t="shared" si="10"/>
        <v>-59</v>
      </c>
      <c r="H159" s="56">
        <f t="shared" si="11"/>
        <v>89.827586206896541</v>
      </c>
    </row>
    <row r="160" spans="1:8" s="5" customFormat="1">
      <c r="A160" s="8" t="s">
        <v>164</v>
      </c>
      <c r="B160" s="45" t="s">
        <v>179</v>
      </c>
      <c r="C160" s="110">
        <v>75</v>
      </c>
      <c r="D160" s="35">
        <v>170</v>
      </c>
      <c r="E160" s="91">
        <v>76</v>
      </c>
      <c r="F160" s="35">
        <v>170</v>
      </c>
      <c r="G160" s="39">
        <f t="shared" si="10"/>
        <v>94</v>
      </c>
      <c r="H160" s="56">
        <f t="shared" si="11"/>
        <v>223.68421052631581</v>
      </c>
    </row>
    <row r="161" spans="1:8" s="5" customFormat="1">
      <c r="A161" s="8" t="s">
        <v>165</v>
      </c>
      <c r="B161" s="45" t="s">
        <v>180</v>
      </c>
      <c r="C161" s="110">
        <v>488</v>
      </c>
      <c r="D161" s="35">
        <v>414</v>
      </c>
      <c r="E161" s="91">
        <v>490</v>
      </c>
      <c r="F161" s="35">
        <v>414</v>
      </c>
      <c r="G161" s="39">
        <f t="shared" si="10"/>
        <v>-76</v>
      </c>
      <c r="H161" s="56">
        <f t="shared" si="11"/>
        <v>84.489795918367349</v>
      </c>
    </row>
    <row r="162" spans="1:8" s="5" customFormat="1">
      <c r="A162" s="9" t="s">
        <v>166</v>
      </c>
      <c r="B162" s="45" t="s">
        <v>167</v>
      </c>
      <c r="C162" s="114">
        <v>226734</v>
      </c>
      <c r="D162" s="39">
        <f>D163+D164+D165+D166+D167+D168</f>
        <v>224723</v>
      </c>
      <c r="E162" s="39">
        <f>E163+E164+E165+E166+E167+E168</f>
        <v>59152</v>
      </c>
      <c r="F162" s="39">
        <f>F163+F164+F165+F166+F167+F168</f>
        <v>57626</v>
      </c>
      <c r="G162" s="39">
        <f t="shared" si="10"/>
        <v>-1526</v>
      </c>
      <c r="H162" s="56">
        <f t="shared" si="11"/>
        <v>97.420205572085479</v>
      </c>
    </row>
    <row r="163" spans="1:8" s="5" customFormat="1">
      <c r="A163" s="8" t="s">
        <v>51</v>
      </c>
      <c r="B163" s="45" t="s">
        <v>168</v>
      </c>
      <c r="C163" s="110">
        <v>1039</v>
      </c>
      <c r="D163" s="35">
        <v>1038</v>
      </c>
      <c r="E163" s="36">
        <v>245</v>
      </c>
      <c r="F163" s="35">
        <f>D163-693</f>
        <v>345</v>
      </c>
      <c r="G163" s="39">
        <f t="shared" si="10"/>
        <v>100</v>
      </c>
      <c r="H163" s="56">
        <f t="shared" si="11"/>
        <v>140.81632653061226</v>
      </c>
    </row>
    <row r="164" spans="1:8" s="5" customFormat="1">
      <c r="A164" s="8" t="s">
        <v>50</v>
      </c>
      <c r="B164" s="45" t="s">
        <v>169</v>
      </c>
      <c r="C164" s="110">
        <v>4139</v>
      </c>
      <c r="D164" s="35">
        <f>4475-D163+33</f>
        <v>3470</v>
      </c>
      <c r="E164" s="36">
        <v>780</v>
      </c>
      <c r="F164" s="35">
        <f>D164-3199</f>
        <v>271</v>
      </c>
      <c r="G164" s="39">
        <f t="shared" si="10"/>
        <v>-509</v>
      </c>
      <c r="H164" s="56">
        <f t="shared" si="11"/>
        <v>34.743589743589745</v>
      </c>
    </row>
    <row r="165" spans="1:8" s="5" customFormat="1">
      <c r="A165" s="8" t="s">
        <v>162</v>
      </c>
      <c r="B165" s="45" t="s">
        <v>170</v>
      </c>
      <c r="C165" s="110">
        <v>23636</v>
      </c>
      <c r="D165" s="35">
        <f>21802+222+23</f>
        <v>22047</v>
      </c>
      <c r="E165" s="36">
        <v>6435</v>
      </c>
      <c r="F165" s="35">
        <v>6115</v>
      </c>
      <c r="G165" s="39">
        <f t="shared" si="10"/>
        <v>-320</v>
      </c>
      <c r="H165" s="56">
        <f t="shared" si="11"/>
        <v>95.02719502719502</v>
      </c>
    </row>
    <row r="166" spans="1:8" s="5" customFormat="1">
      <c r="A166" s="8" t="s">
        <v>163</v>
      </c>
      <c r="B166" s="45" t="s">
        <v>171</v>
      </c>
      <c r="C166" s="110">
        <v>114639</v>
      </c>
      <c r="D166" s="35">
        <f>101568+2222+33+5119</f>
        <v>108942</v>
      </c>
      <c r="E166" s="36">
        <v>29815</v>
      </c>
      <c r="F166" s="35">
        <f>D166-82879</f>
        <v>26063</v>
      </c>
      <c r="G166" s="39">
        <f t="shared" si="10"/>
        <v>-3752</v>
      </c>
      <c r="H166" s="56">
        <f t="shared" si="11"/>
        <v>87.415730337078656</v>
      </c>
    </row>
    <row r="167" spans="1:8" s="5" customFormat="1">
      <c r="A167" s="8" t="s">
        <v>164</v>
      </c>
      <c r="B167" s="45" t="s">
        <v>172</v>
      </c>
      <c r="C167" s="110">
        <v>9259</v>
      </c>
      <c r="D167" s="35">
        <f>269+21756-9197</f>
        <v>12828</v>
      </c>
      <c r="E167" s="36">
        <v>2297</v>
      </c>
      <c r="F167" s="35">
        <f>D167-6491</f>
        <v>6337</v>
      </c>
      <c r="G167" s="39">
        <f t="shared" si="10"/>
        <v>4040</v>
      </c>
      <c r="H167" s="56">
        <f t="shared" si="11"/>
        <v>275.88158467566393</v>
      </c>
    </row>
    <row r="168" spans="1:8" s="5" customFormat="1">
      <c r="A168" s="8" t="s">
        <v>165</v>
      </c>
      <c r="B168" s="45" t="s">
        <v>173</v>
      </c>
      <c r="C168" s="110">
        <v>74022</v>
      </c>
      <c r="D168" s="35">
        <f>60685+10769+665+154+31+16+9197-5119</f>
        <v>76398</v>
      </c>
      <c r="E168" s="36">
        <v>19580</v>
      </c>
      <c r="F168" s="35">
        <f>D168-57903</f>
        <v>18495</v>
      </c>
      <c r="G168" s="39">
        <f t="shared" si="10"/>
        <v>-1085</v>
      </c>
      <c r="H168" s="56">
        <f t="shared" si="11"/>
        <v>94.458631256384066</v>
      </c>
    </row>
    <row r="169" spans="1:8" s="5" customFormat="1" ht="20.100000000000001" customHeight="1">
      <c r="A169" s="33" t="s">
        <v>3</v>
      </c>
      <c r="B169" s="45" t="s">
        <v>187</v>
      </c>
      <c r="C169" s="114">
        <v>222668</v>
      </c>
      <c r="D169" s="39">
        <f>D170+D171+D172+D173+D174+D175</f>
        <v>221056</v>
      </c>
      <c r="E169" s="39">
        <f>E170+E171+E172+E173+E174+E175-1</f>
        <v>59151</v>
      </c>
      <c r="F169" s="39">
        <f>F170+F171+F172+F173+F174+F175</f>
        <v>54361</v>
      </c>
      <c r="G169" s="39">
        <f t="shared" si="10"/>
        <v>-4790</v>
      </c>
      <c r="H169" s="56">
        <f t="shared" si="11"/>
        <v>91.902081114435944</v>
      </c>
    </row>
    <row r="170" spans="1:8" s="5" customFormat="1" ht="20.100000000000001" customHeight="1">
      <c r="A170" s="8" t="s">
        <v>51</v>
      </c>
      <c r="B170" s="45" t="s">
        <v>181</v>
      </c>
      <c r="C170" s="110">
        <v>1039</v>
      </c>
      <c r="D170" s="35">
        <v>1038</v>
      </c>
      <c r="E170" s="36">
        <v>245</v>
      </c>
      <c r="F170" s="35">
        <f>D170-693</f>
        <v>345</v>
      </c>
      <c r="G170" s="39">
        <f t="shared" si="10"/>
        <v>100</v>
      </c>
      <c r="H170" s="56">
        <f t="shared" si="11"/>
        <v>140.81632653061226</v>
      </c>
    </row>
    <row r="171" spans="1:8" s="5" customFormat="1" ht="20.100000000000001" customHeight="1">
      <c r="A171" s="8" t="s">
        <v>50</v>
      </c>
      <c r="B171" s="45" t="s">
        <v>182</v>
      </c>
      <c r="C171" s="110">
        <v>4083</v>
      </c>
      <c r="D171" s="35">
        <f>4475-D170</f>
        <v>3437</v>
      </c>
      <c r="E171" s="36">
        <v>780</v>
      </c>
      <c r="F171" s="35">
        <f>1700-F170</f>
        <v>1355</v>
      </c>
      <c r="G171" s="39">
        <f t="shared" si="10"/>
        <v>575</v>
      </c>
      <c r="H171" s="56">
        <f t="shared" si="11"/>
        <v>173.71794871794873</v>
      </c>
    </row>
    <row r="172" spans="1:8" s="5" customFormat="1" ht="20.100000000000001" customHeight="1">
      <c r="A172" s="8" t="s">
        <v>162</v>
      </c>
      <c r="B172" s="45" t="s">
        <v>183</v>
      </c>
      <c r="C172" s="110">
        <v>23341</v>
      </c>
      <c r="D172" s="35">
        <v>21802</v>
      </c>
      <c r="E172" s="36">
        <v>6435</v>
      </c>
      <c r="F172" s="35">
        <v>6115</v>
      </c>
      <c r="G172" s="39">
        <f t="shared" si="10"/>
        <v>-320</v>
      </c>
      <c r="H172" s="56">
        <f t="shared" si="11"/>
        <v>95.02719502719502</v>
      </c>
    </row>
    <row r="173" spans="1:8" s="5" customFormat="1" ht="20.100000000000001" customHeight="1">
      <c r="A173" s="8" t="s">
        <v>163</v>
      </c>
      <c r="B173" s="45" t="s">
        <v>184</v>
      </c>
      <c r="C173" s="110">
        <v>112000</v>
      </c>
      <c r="D173" s="35">
        <f>5119+101569</f>
        <v>106688</v>
      </c>
      <c r="E173" s="36">
        <v>29815</v>
      </c>
      <c r="F173" s="35">
        <f>D173-81142</f>
        <v>25546</v>
      </c>
      <c r="G173" s="39">
        <f t="shared" si="10"/>
        <v>-4269</v>
      </c>
      <c r="H173" s="56">
        <f t="shared" si="11"/>
        <v>85.681703840348817</v>
      </c>
    </row>
    <row r="174" spans="1:8" s="5" customFormat="1" ht="20.100000000000001" customHeight="1">
      <c r="A174" s="8" t="s">
        <v>164</v>
      </c>
      <c r="B174" s="45" t="s">
        <v>185</v>
      </c>
      <c r="C174" s="110">
        <v>9132</v>
      </c>
      <c r="D174" s="35">
        <f>21756-9197</f>
        <v>12559</v>
      </c>
      <c r="E174" s="36">
        <v>2297</v>
      </c>
      <c r="F174" s="35">
        <f>D174-6377-1084</f>
        <v>5098</v>
      </c>
      <c r="G174" s="39">
        <f t="shared" si="10"/>
        <v>2801</v>
      </c>
      <c r="H174" s="56">
        <f t="shared" si="11"/>
        <v>221.94166303874621</v>
      </c>
    </row>
    <row r="175" spans="1:8" s="5" customFormat="1" ht="20.100000000000001" customHeight="1">
      <c r="A175" s="8" t="s">
        <v>165</v>
      </c>
      <c r="B175" s="45" t="s">
        <v>186</v>
      </c>
      <c r="C175" s="110">
        <v>73073</v>
      </c>
      <c r="D175" s="35">
        <f>10769+60685+9197-5119</f>
        <v>75532</v>
      </c>
      <c r="E175" s="36">
        <v>19580</v>
      </c>
      <c r="F175" s="35">
        <f>D175-57313-2317</f>
        <v>15902</v>
      </c>
      <c r="G175" s="39">
        <f t="shared" si="10"/>
        <v>-3678</v>
      </c>
      <c r="H175" s="56">
        <f t="shared" si="11"/>
        <v>81.215526046986724</v>
      </c>
    </row>
    <row r="176" spans="1:8" s="5" customFormat="1" ht="37.5">
      <c r="A176" s="33" t="s">
        <v>55</v>
      </c>
      <c r="B176" s="45" t="s">
        <v>196</v>
      </c>
      <c r="C176" s="115">
        <v>14976.3</v>
      </c>
      <c r="D176" s="87">
        <f>D169/D155/12*1000</f>
        <v>15428.252372975991</v>
      </c>
      <c r="E176" s="87">
        <v>15951</v>
      </c>
      <c r="F176" s="57">
        <f>F169/F155/3*1000</f>
        <v>15176.158570630932</v>
      </c>
      <c r="G176" s="39">
        <f t="shared" si="10"/>
        <v>-774.84142936906755</v>
      </c>
      <c r="H176" s="56">
        <f t="shared" si="11"/>
        <v>95.1423645579019</v>
      </c>
    </row>
    <row r="177" spans="1:9" s="5" customFormat="1" ht="20.100000000000001" customHeight="1">
      <c r="A177" s="8" t="s">
        <v>51</v>
      </c>
      <c r="B177" s="45" t="s">
        <v>188</v>
      </c>
      <c r="C177" s="110">
        <v>86583.3</v>
      </c>
      <c r="D177" s="35">
        <f t="shared" ref="D177:D182" si="12">D170/12/D156*1000</f>
        <v>86500</v>
      </c>
      <c r="E177" s="35">
        <v>81667</v>
      </c>
      <c r="F177" s="57">
        <f t="shared" ref="F177:F182" si="13">F170/F156/3*1000</f>
        <v>115000</v>
      </c>
      <c r="G177" s="39">
        <f t="shared" si="10"/>
        <v>33333</v>
      </c>
      <c r="H177" s="56">
        <f t="shared" si="11"/>
        <v>140.81575177244176</v>
      </c>
    </row>
    <row r="178" spans="1:9" s="5" customFormat="1" ht="20.100000000000001" customHeight="1">
      <c r="A178" s="8" t="s">
        <v>50</v>
      </c>
      <c r="B178" s="45" t="s">
        <v>189</v>
      </c>
      <c r="C178" s="110">
        <v>37805.599999999999</v>
      </c>
      <c r="D178" s="35">
        <f t="shared" si="12"/>
        <v>35802.083333333336</v>
      </c>
      <c r="E178" s="35">
        <v>32519</v>
      </c>
      <c r="F178" s="57">
        <f>F171/F157/3*1000</f>
        <v>56458.333333333336</v>
      </c>
      <c r="G178" s="39">
        <f t="shared" si="10"/>
        <v>23939.333333333336</v>
      </c>
      <c r="H178" s="56">
        <f t="shared" si="11"/>
        <v>173.61644987033222</v>
      </c>
    </row>
    <row r="179" spans="1:9" s="5" customFormat="1" ht="20.100000000000001" customHeight="1">
      <c r="A179" s="8" t="s">
        <v>162</v>
      </c>
      <c r="B179" s="45" t="s">
        <v>190</v>
      </c>
      <c r="C179" s="110">
        <v>22883.3</v>
      </c>
      <c r="D179" s="35">
        <f t="shared" si="12"/>
        <v>22710.416666666668</v>
      </c>
      <c r="E179" s="35">
        <v>26481</v>
      </c>
      <c r="F179" s="57">
        <f t="shared" si="13"/>
        <v>25479.166666666668</v>
      </c>
      <c r="G179" s="39">
        <f t="shared" si="10"/>
        <v>-1001.8333333333321</v>
      </c>
      <c r="H179" s="56">
        <f t="shared" si="11"/>
        <v>96.216784361114264</v>
      </c>
    </row>
    <row r="180" spans="1:9" s="5" customFormat="1" ht="20.100000000000001" customHeight="1">
      <c r="A180" s="8" t="s">
        <v>163</v>
      </c>
      <c r="B180" s="45" t="s">
        <v>191</v>
      </c>
      <c r="C180" s="110">
        <v>16064.3</v>
      </c>
      <c r="D180" s="35">
        <f t="shared" si="12"/>
        <v>17064.619321817016</v>
      </c>
      <c r="E180" s="35">
        <v>17135</v>
      </c>
      <c r="F180" s="57">
        <f t="shared" si="13"/>
        <v>16344.209852847091</v>
      </c>
      <c r="G180" s="39">
        <f t="shared" si="10"/>
        <v>-790.79014715290941</v>
      </c>
      <c r="H180" s="56">
        <f t="shared" si="11"/>
        <v>95.384942240134748</v>
      </c>
    </row>
    <row r="181" spans="1:9" s="5" customFormat="1" ht="20.100000000000001" customHeight="1">
      <c r="A181" s="8" t="s">
        <v>164</v>
      </c>
      <c r="B181" s="45" t="s">
        <v>192</v>
      </c>
      <c r="C181" s="110">
        <v>10146.700000000001</v>
      </c>
      <c r="D181" s="35">
        <f t="shared" si="12"/>
        <v>6156.3725490196075</v>
      </c>
      <c r="E181" s="35">
        <v>10075</v>
      </c>
      <c r="F181" s="57">
        <f t="shared" si="13"/>
        <v>9996.0784313725489</v>
      </c>
      <c r="G181" s="39">
        <f t="shared" si="10"/>
        <v>-78.921568627451052</v>
      </c>
      <c r="H181" s="56">
        <f t="shared" si="11"/>
        <v>99.216659368462018</v>
      </c>
    </row>
    <row r="182" spans="1:9" s="5" customFormat="1" ht="20.100000000000001" customHeight="1">
      <c r="A182" s="8" t="s">
        <v>165</v>
      </c>
      <c r="B182" s="45" t="s">
        <v>193</v>
      </c>
      <c r="C182" s="110">
        <f>C175/9/C161*1000</f>
        <v>16637.750455373407</v>
      </c>
      <c r="D182" s="35">
        <f t="shared" si="12"/>
        <v>15203.703703703703</v>
      </c>
      <c r="E182" s="35">
        <v>13320</v>
      </c>
      <c r="F182" s="57">
        <f t="shared" si="13"/>
        <v>12803.542673107891</v>
      </c>
      <c r="G182" s="39">
        <f t="shared" si="10"/>
        <v>-516.45732689210854</v>
      </c>
      <c r="H182" s="56">
        <f t="shared" si="11"/>
        <v>96.12269274105023</v>
      </c>
    </row>
    <row r="183" spans="1:9" s="5" customFormat="1" ht="32.25" customHeight="1">
      <c r="A183" s="8" t="s">
        <v>194</v>
      </c>
      <c r="B183" s="45" t="s">
        <v>195</v>
      </c>
      <c r="C183" s="92"/>
      <c r="D183" s="35"/>
      <c r="E183" s="50"/>
      <c r="F183" s="50"/>
      <c r="G183" s="39">
        <v>0</v>
      </c>
      <c r="H183" s="56" t="e">
        <f t="shared" si="11"/>
        <v>#DIV/0!</v>
      </c>
    </row>
    <row r="184" spans="1:9" s="5" customFormat="1" ht="20.100000000000001" customHeight="1">
      <c r="A184" s="16"/>
      <c r="B184" s="51"/>
      <c r="C184" s="52"/>
      <c r="D184" s="52"/>
      <c r="E184" s="53"/>
      <c r="F184" s="53"/>
      <c r="G184" s="53"/>
      <c r="H184" s="54"/>
    </row>
    <row r="185" spans="1:9" s="5" customFormat="1" ht="53.25" customHeight="1">
      <c r="A185" s="16"/>
      <c r="B185" s="51"/>
      <c r="C185" s="52"/>
      <c r="D185" s="52"/>
      <c r="E185" s="53"/>
      <c r="F185" s="53"/>
      <c r="G185" s="53"/>
      <c r="H185" s="54"/>
    </row>
    <row r="186" spans="1:9">
      <c r="A186" s="22"/>
      <c r="C186" s="14"/>
    </row>
    <row r="187" spans="1:9">
      <c r="A187" s="20" t="s">
        <v>536</v>
      </c>
      <c r="B187" s="1"/>
      <c r="C187" s="138" t="s">
        <v>24</v>
      </c>
      <c r="D187" s="139"/>
      <c r="E187" s="139"/>
      <c r="F187" s="139"/>
      <c r="G187" s="125" t="s">
        <v>535</v>
      </c>
      <c r="H187" s="125"/>
    </row>
    <row r="188" spans="1:9" s="2" customFormat="1" ht="20.100000000000001" customHeight="1">
      <c r="A188" s="28" t="s">
        <v>68</v>
      </c>
      <c r="B188" s="3"/>
      <c r="C188" s="125" t="s">
        <v>19</v>
      </c>
      <c r="D188" s="125"/>
      <c r="E188" s="125"/>
      <c r="F188" s="125"/>
      <c r="G188" s="137" t="s">
        <v>22</v>
      </c>
      <c r="H188" s="137"/>
      <c r="I188" s="4"/>
    </row>
    <row r="189" spans="1:9">
      <c r="A189" s="22"/>
    </row>
    <row r="190" spans="1:9">
      <c r="A190" s="22"/>
    </row>
    <row r="191" spans="1:9">
      <c r="A191" s="22"/>
    </row>
    <row r="192" spans="1:9">
      <c r="A192" s="22"/>
    </row>
    <row r="193" spans="1:1">
      <c r="A193" s="22"/>
    </row>
    <row r="194" spans="1:1">
      <c r="A194" s="22"/>
    </row>
    <row r="195" spans="1:1">
      <c r="A195" s="22"/>
    </row>
    <row r="196" spans="1:1">
      <c r="A196" s="22"/>
    </row>
    <row r="197" spans="1:1">
      <c r="A197" s="22"/>
    </row>
    <row r="198" spans="1:1">
      <c r="A198" s="22"/>
    </row>
    <row r="199" spans="1:1">
      <c r="A199" s="22"/>
    </row>
    <row r="200" spans="1:1">
      <c r="A200" s="22"/>
    </row>
    <row r="201" spans="1:1">
      <c r="A201" s="22"/>
    </row>
    <row r="202" spans="1:1">
      <c r="A202" s="22"/>
    </row>
    <row r="203" spans="1:1">
      <c r="A203" s="22"/>
    </row>
    <row r="204" spans="1:1">
      <c r="A204" s="22"/>
    </row>
    <row r="205" spans="1:1">
      <c r="A205" s="22"/>
    </row>
    <row r="206" spans="1:1">
      <c r="A206" s="22"/>
    </row>
    <row r="207" spans="1:1">
      <c r="A207" s="22"/>
    </row>
    <row r="208" spans="1:1">
      <c r="A208" s="22"/>
    </row>
    <row r="209" spans="1:1">
      <c r="A209" s="22"/>
    </row>
    <row r="210" spans="1:1">
      <c r="A210" s="22"/>
    </row>
    <row r="211" spans="1:1">
      <c r="A211" s="22"/>
    </row>
    <row r="212" spans="1:1">
      <c r="A212" s="22"/>
    </row>
    <row r="213" spans="1:1">
      <c r="A213" s="22"/>
    </row>
    <row r="214" spans="1:1">
      <c r="A214" s="22"/>
    </row>
    <row r="215" spans="1:1">
      <c r="A215" s="22"/>
    </row>
    <row r="216" spans="1:1">
      <c r="A216" s="22"/>
    </row>
    <row r="217" spans="1:1">
      <c r="A217" s="22"/>
    </row>
    <row r="218" spans="1:1">
      <c r="A218" s="22"/>
    </row>
    <row r="219" spans="1:1">
      <c r="A219" s="22"/>
    </row>
    <row r="220" spans="1:1">
      <c r="A220" s="22"/>
    </row>
    <row r="221" spans="1:1">
      <c r="A221" s="22"/>
    </row>
    <row r="222" spans="1:1">
      <c r="A222" s="22"/>
    </row>
    <row r="223" spans="1:1">
      <c r="A223" s="22"/>
    </row>
    <row r="224" spans="1:1">
      <c r="A224" s="22"/>
    </row>
    <row r="225" spans="1:1">
      <c r="A225" s="22"/>
    </row>
    <row r="226" spans="1:1">
      <c r="A226" s="22"/>
    </row>
    <row r="227" spans="1:1">
      <c r="A227" s="22"/>
    </row>
    <row r="228" spans="1:1">
      <c r="A228" s="22"/>
    </row>
    <row r="229" spans="1:1">
      <c r="A229" s="22"/>
    </row>
    <row r="230" spans="1:1">
      <c r="A230" s="22"/>
    </row>
    <row r="231" spans="1:1">
      <c r="A231" s="22"/>
    </row>
    <row r="232" spans="1:1">
      <c r="A232" s="22"/>
    </row>
    <row r="233" spans="1:1">
      <c r="A233" s="22"/>
    </row>
    <row r="234" spans="1:1">
      <c r="A234" s="22"/>
    </row>
    <row r="235" spans="1:1">
      <c r="A235" s="22"/>
    </row>
    <row r="236" spans="1:1">
      <c r="A236" s="22"/>
    </row>
    <row r="237" spans="1:1">
      <c r="A237" s="22"/>
    </row>
    <row r="238" spans="1:1">
      <c r="A238" s="22"/>
    </row>
    <row r="239" spans="1:1">
      <c r="A239" s="22"/>
    </row>
    <row r="240" spans="1:1">
      <c r="A240" s="22"/>
    </row>
    <row r="241" spans="1:1">
      <c r="A241" s="22"/>
    </row>
    <row r="242" spans="1:1">
      <c r="A242" s="22"/>
    </row>
    <row r="243" spans="1:1">
      <c r="A243" s="22"/>
    </row>
    <row r="244" spans="1:1">
      <c r="A244" s="22"/>
    </row>
    <row r="245" spans="1:1">
      <c r="A245" s="22"/>
    </row>
    <row r="246" spans="1:1">
      <c r="A246" s="22"/>
    </row>
    <row r="247" spans="1:1">
      <c r="A247" s="22"/>
    </row>
    <row r="248" spans="1:1">
      <c r="A248" s="22"/>
    </row>
    <row r="249" spans="1:1">
      <c r="A249" s="22"/>
    </row>
    <row r="250" spans="1:1">
      <c r="A250" s="22"/>
    </row>
    <row r="251" spans="1:1">
      <c r="A251" s="22"/>
    </row>
    <row r="252" spans="1:1">
      <c r="A252" s="22"/>
    </row>
    <row r="253" spans="1:1">
      <c r="A253" s="22"/>
    </row>
    <row r="254" spans="1:1">
      <c r="A254" s="22"/>
    </row>
    <row r="255" spans="1:1">
      <c r="A255" s="22"/>
    </row>
    <row r="256" spans="1:1">
      <c r="A256" s="22"/>
    </row>
    <row r="257" spans="1:1">
      <c r="A257" s="22"/>
    </row>
    <row r="258" spans="1:1">
      <c r="A258" s="22"/>
    </row>
    <row r="259" spans="1:1">
      <c r="A259" s="22"/>
    </row>
    <row r="260" spans="1:1">
      <c r="A260" s="22"/>
    </row>
    <row r="261" spans="1:1">
      <c r="A261" s="22"/>
    </row>
    <row r="262" spans="1:1">
      <c r="A262" s="22"/>
    </row>
    <row r="263" spans="1:1">
      <c r="A263" s="22"/>
    </row>
    <row r="264" spans="1:1">
      <c r="A264" s="22"/>
    </row>
    <row r="265" spans="1:1">
      <c r="A265" s="22"/>
    </row>
    <row r="266" spans="1:1">
      <c r="A266" s="22"/>
    </row>
    <row r="267" spans="1:1">
      <c r="A267" s="22"/>
    </row>
    <row r="268" spans="1:1">
      <c r="A268" s="22"/>
    </row>
    <row r="269" spans="1:1">
      <c r="A269" s="22"/>
    </row>
    <row r="270" spans="1:1">
      <c r="A270" s="22"/>
    </row>
    <row r="271" spans="1:1">
      <c r="A271" s="22"/>
    </row>
    <row r="272" spans="1:1">
      <c r="A272" s="22"/>
    </row>
    <row r="273" spans="1:1">
      <c r="A273" s="22"/>
    </row>
    <row r="274" spans="1:1">
      <c r="A274" s="22"/>
    </row>
    <row r="275" spans="1:1">
      <c r="A275" s="22"/>
    </row>
    <row r="276" spans="1:1">
      <c r="A276" s="22"/>
    </row>
    <row r="277" spans="1:1">
      <c r="A277" s="22"/>
    </row>
    <row r="278" spans="1:1">
      <c r="A278" s="22"/>
    </row>
    <row r="279" spans="1:1">
      <c r="A279" s="22"/>
    </row>
    <row r="280" spans="1:1">
      <c r="A280" s="22"/>
    </row>
    <row r="281" spans="1:1">
      <c r="A281" s="22"/>
    </row>
    <row r="282" spans="1:1">
      <c r="A282" s="22"/>
    </row>
    <row r="283" spans="1:1">
      <c r="A283" s="22"/>
    </row>
    <row r="284" spans="1:1">
      <c r="A284" s="22"/>
    </row>
    <row r="285" spans="1:1">
      <c r="A285" s="22"/>
    </row>
    <row r="286" spans="1:1">
      <c r="A286" s="22"/>
    </row>
    <row r="287" spans="1:1">
      <c r="A287" s="22"/>
    </row>
    <row r="288" spans="1:1">
      <c r="A288" s="22"/>
    </row>
    <row r="289" spans="1:1">
      <c r="A289" s="22"/>
    </row>
    <row r="290" spans="1:1">
      <c r="A290" s="22"/>
    </row>
    <row r="291" spans="1:1">
      <c r="A291" s="22"/>
    </row>
    <row r="292" spans="1:1">
      <c r="A292" s="22"/>
    </row>
    <row r="293" spans="1:1">
      <c r="A293" s="22"/>
    </row>
    <row r="294" spans="1:1">
      <c r="A294" s="22"/>
    </row>
    <row r="295" spans="1:1">
      <c r="A295" s="22"/>
    </row>
    <row r="296" spans="1:1">
      <c r="A296" s="22"/>
    </row>
    <row r="297" spans="1:1">
      <c r="A297" s="22"/>
    </row>
    <row r="298" spans="1:1">
      <c r="A298" s="22"/>
    </row>
    <row r="299" spans="1:1">
      <c r="A299" s="22"/>
    </row>
    <row r="300" spans="1:1">
      <c r="A300" s="22"/>
    </row>
    <row r="301" spans="1:1">
      <c r="A301" s="22"/>
    </row>
    <row r="302" spans="1:1">
      <c r="A302" s="22"/>
    </row>
    <row r="303" spans="1:1">
      <c r="A303" s="22"/>
    </row>
    <row r="304" spans="1:1">
      <c r="A304" s="22"/>
    </row>
    <row r="305" spans="1:1">
      <c r="A305" s="22"/>
    </row>
    <row r="306" spans="1:1">
      <c r="A306" s="22"/>
    </row>
    <row r="307" spans="1:1">
      <c r="A307" s="22"/>
    </row>
    <row r="308" spans="1:1">
      <c r="A308" s="22"/>
    </row>
    <row r="309" spans="1:1">
      <c r="A309" s="22"/>
    </row>
    <row r="310" spans="1:1">
      <c r="A310" s="22"/>
    </row>
    <row r="311" spans="1:1">
      <c r="A311" s="22"/>
    </row>
    <row r="312" spans="1:1">
      <c r="A312" s="22"/>
    </row>
    <row r="313" spans="1:1">
      <c r="A313" s="22"/>
    </row>
    <row r="314" spans="1:1">
      <c r="A314" s="22"/>
    </row>
    <row r="315" spans="1:1">
      <c r="A315" s="22"/>
    </row>
    <row r="316" spans="1:1">
      <c r="A316" s="22"/>
    </row>
    <row r="317" spans="1:1">
      <c r="A317" s="22"/>
    </row>
    <row r="318" spans="1:1">
      <c r="A318" s="22"/>
    </row>
    <row r="319" spans="1:1">
      <c r="A319" s="22"/>
    </row>
    <row r="320" spans="1:1">
      <c r="A320" s="22"/>
    </row>
    <row r="321" spans="1:1">
      <c r="A321" s="22"/>
    </row>
    <row r="322" spans="1:1">
      <c r="A322" s="22"/>
    </row>
    <row r="323" spans="1:1">
      <c r="A323" s="22"/>
    </row>
    <row r="324" spans="1:1">
      <c r="A324" s="22"/>
    </row>
    <row r="325" spans="1:1">
      <c r="A325" s="22"/>
    </row>
    <row r="326" spans="1:1">
      <c r="A326" s="18"/>
    </row>
    <row r="327" spans="1:1">
      <c r="A327" s="18"/>
    </row>
    <row r="328" spans="1:1">
      <c r="A328" s="18"/>
    </row>
    <row r="329" spans="1:1">
      <c r="A329" s="18"/>
    </row>
    <row r="330" spans="1:1">
      <c r="A330" s="18"/>
    </row>
    <row r="331" spans="1:1">
      <c r="A331" s="18"/>
    </row>
    <row r="332" spans="1:1">
      <c r="A332" s="18"/>
    </row>
    <row r="333" spans="1:1">
      <c r="A333" s="18"/>
    </row>
    <row r="334" spans="1:1">
      <c r="A334" s="18"/>
    </row>
    <row r="335" spans="1:1">
      <c r="A335" s="18"/>
    </row>
    <row r="336" spans="1:1">
      <c r="A336" s="18"/>
    </row>
    <row r="337" spans="1:1">
      <c r="A337" s="18"/>
    </row>
    <row r="338" spans="1:1">
      <c r="A338" s="18"/>
    </row>
    <row r="339" spans="1:1">
      <c r="A339" s="18"/>
    </row>
    <row r="340" spans="1:1">
      <c r="A340" s="18"/>
    </row>
    <row r="341" spans="1:1">
      <c r="A341" s="18"/>
    </row>
    <row r="342" spans="1:1">
      <c r="A342" s="18"/>
    </row>
    <row r="343" spans="1:1">
      <c r="A343" s="18"/>
    </row>
    <row r="344" spans="1:1">
      <c r="A344" s="18"/>
    </row>
    <row r="345" spans="1:1">
      <c r="A345" s="18"/>
    </row>
    <row r="346" spans="1:1">
      <c r="A346" s="18"/>
    </row>
    <row r="347" spans="1:1">
      <c r="A347" s="18"/>
    </row>
    <row r="348" spans="1:1">
      <c r="A348" s="18"/>
    </row>
    <row r="349" spans="1:1">
      <c r="A349" s="18"/>
    </row>
    <row r="350" spans="1:1">
      <c r="A350" s="18"/>
    </row>
    <row r="351" spans="1:1">
      <c r="A351" s="18"/>
    </row>
    <row r="352" spans="1:1">
      <c r="A352" s="18"/>
    </row>
    <row r="353" spans="1:1">
      <c r="A353" s="18"/>
    </row>
    <row r="354" spans="1:1">
      <c r="A354" s="18"/>
    </row>
    <row r="355" spans="1:1">
      <c r="A355" s="18"/>
    </row>
    <row r="356" spans="1:1">
      <c r="A356" s="18"/>
    </row>
    <row r="357" spans="1:1">
      <c r="A357" s="18"/>
    </row>
    <row r="358" spans="1:1">
      <c r="A358" s="18"/>
    </row>
    <row r="359" spans="1:1">
      <c r="A359" s="18"/>
    </row>
    <row r="360" spans="1:1">
      <c r="A360" s="18"/>
    </row>
    <row r="361" spans="1:1">
      <c r="A361" s="18"/>
    </row>
    <row r="362" spans="1:1">
      <c r="A362" s="18"/>
    </row>
    <row r="363" spans="1:1">
      <c r="A363" s="18"/>
    </row>
    <row r="364" spans="1:1">
      <c r="A364" s="18"/>
    </row>
    <row r="365" spans="1:1">
      <c r="A365" s="18"/>
    </row>
    <row r="366" spans="1:1">
      <c r="A366" s="18"/>
    </row>
    <row r="367" spans="1:1">
      <c r="A367" s="18"/>
    </row>
    <row r="368" spans="1:1">
      <c r="A368" s="18"/>
    </row>
    <row r="369" spans="1:1">
      <c r="A369" s="18"/>
    </row>
    <row r="370" spans="1:1">
      <c r="A370" s="18"/>
    </row>
    <row r="371" spans="1:1">
      <c r="A371" s="18"/>
    </row>
    <row r="372" spans="1:1">
      <c r="A372" s="18"/>
    </row>
    <row r="373" spans="1:1">
      <c r="A373" s="18"/>
    </row>
    <row r="374" spans="1:1">
      <c r="A374" s="18"/>
    </row>
    <row r="375" spans="1:1">
      <c r="A375" s="18"/>
    </row>
    <row r="376" spans="1:1">
      <c r="A376" s="18"/>
    </row>
    <row r="377" spans="1:1">
      <c r="A377" s="18"/>
    </row>
    <row r="378" spans="1:1">
      <c r="A378" s="18"/>
    </row>
    <row r="379" spans="1:1">
      <c r="A379" s="18"/>
    </row>
    <row r="380" spans="1:1">
      <c r="A380" s="18"/>
    </row>
    <row r="381" spans="1:1">
      <c r="A381" s="18"/>
    </row>
    <row r="382" spans="1:1">
      <c r="A382" s="18"/>
    </row>
    <row r="383" spans="1:1">
      <c r="A383" s="18"/>
    </row>
    <row r="384" spans="1:1">
      <c r="A384" s="18"/>
    </row>
    <row r="385" spans="1:1">
      <c r="A385" s="18"/>
    </row>
    <row r="386" spans="1:1">
      <c r="A386" s="18"/>
    </row>
    <row r="387" spans="1:1">
      <c r="A387" s="18"/>
    </row>
    <row r="388" spans="1:1">
      <c r="A388" s="18"/>
    </row>
    <row r="389" spans="1:1">
      <c r="A389" s="18"/>
    </row>
    <row r="390" spans="1:1">
      <c r="A390" s="18"/>
    </row>
    <row r="391" spans="1:1">
      <c r="A391" s="18"/>
    </row>
    <row r="392" spans="1:1">
      <c r="A392" s="18"/>
    </row>
    <row r="393" spans="1:1">
      <c r="A393" s="18"/>
    </row>
    <row r="394" spans="1:1">
      <c r="A394" s="18"/>
    </row>
    <row r="395" spans="1:1">
      <c r="A395" s="18"/>
    </row>
    <row r="396" spans="1:1">
      <c r="A396" s="18"/>
    </row>
    <row r="397" spans="1:1">
      <c r="A397" s="18"/>
    </row>
    <row r="398" spans="1:1">
      <c r="A398" s="18"/>
    </row>
    <row r="399" spans="1:1">
      <c r="A399" s="18"/>
    </row>
    <row r="400" spans="1:1">
      <c r="A400" s="18"/>
    </row>
    <row r="401" spans="1:1">
      <c r="A401" s="18"/>
    </row>
    <row r="402" spans="1:1">
      <c r="A402" s="18"/>
    </row>
    <row r="403" spans="1:1">
      <c r="A403" s="18"/>
    </row>
    <row r="404" spans="1:1">
      <c r="A404" s="18"/>
    </row>
    <row r="405" spans="1:1">
      <c r="A405" s="18"/>
    </row>
    <row r="406" spans="1:1">
      <c r="A406" s="18"/>
    </row>
    <row r="407" spans="1:1">
      <c r="A407" s="18"/>
    </row>
    <row r="408" spans="1:1">
      <c r="A408" s="18"/>
    </row>
    <row r="409" spans="1:1">
      <c r="A409" s="18"/>
    </row>
    <row r="410" spans="1:1">
      <c r="A410" s="18"/>
    </row>
    <row r="411" spans="1:1">
      <c r="A411" s="18"/>
    </row>
    <row r="412" spans="1:1">
      <c r="A412" s="18"/>
    </row>
    <row r="413" spans="1:1">
      <c r="A413" s="18"/>
    </row>
    <row r="414" spans="1:1">
      <c r="A414" s="18"/>
    </row>
    <row r="415" spans="1:1">
      <c r="A415" s="18"/>
    </row>
    <row r="416" spans="1:1">
      <c r="A416" s="18"/>
    </row>
    <row r="417" spans="1:1">
      <c r="A417" s="18"/>
    </row>
    <row r="418" spans="1:1">
      <c r="A418" s="18"/>
    </row>
    <row r="419" spans="1:1">
      <c r="A419" s="18"/>
    </row>
    <row r="420" spans="1:1">
      <c r="A420" s="18"/>
    </row>
    <row r="421" spans="1:1">
      <c r="A421" s="18"/>
    </row>
    <row r="422" spans="1:1">
      <c r="A422" s="18"/>
    </row>
    <row r="423" spans="1:1">
      <c r="A423" s="18"/>
    </row>
    <row r="424" spans="1:1">
      <c r="A424" s="18"/>
    </row>
    <row r="425" spans="1:1">
      <c r="A425" s="18"/>
    </row>
    <row r="426" spans="1:1">
      <c r="A426" s="18"/>
    </row>
    <row r="427" spans="1:1">
      <c r="A427" s="18"/>
    </row>
    <row r="428" spans="1:1">
      <c r="A428" s="18"/>
    </row>
    <row r="429" spans="1:1">
      <c r="A429" s="18"/>
    </row>
    <row r="430" spans="1:1">
      <c r="A430" s="18"/>
    </row>
    <row r="431" spans="1:1">
      <c r="A431" s="18"/>
    </row>
    <row r="432" spans="1:1">
      <c r="A432" s="18"/>
    </row>
    <row r="433" spans="1:1">
      <c r="A433" s="18"/>
    </row>
    <row r="434" spans="1:1">
      <c r="A434" s="18"/>
    </row>
    <row r="435" spans="1:1">
      <c r="A435" s="18"/>
    </row>
    <row r="436" spans="1:1">
      <c r="A436" s="18"/>
    </row>
    <row r="437" spans="1:1">
      <c r="A437" s="18"/>
    </row>
    <row r="438" spans="1:1">
      <c r="A438" s="18"/>
    </row>
    <row r="439" spans="1:1">
      <c r="A439" s="18"/>
    </row>
    <row r="440" spans="1:1">
      <c r="A440" s="18"/>
    </row>
    <row r="441" spans="1:1">
      <c r="A441" s="18"/>
    </row>
    <row r="442" spans="1:1">
      <c r="A442" s="18"/>
    </row>
    <row r="443" spans="1:1">
      <c r="A443" s="18"/>
    </row>
    <row r="444" spans="1:1">
      <c r="A444" s="18"/>
    </row>
    <row r="445" spans="1:1">
      <c r="A445" s="18"/>
    </row>
    <row r="446" spans="1:1">
      <c r="A446" s="18"/>
    </row>
    <row r="447" spans="1:1">
      <c r="A447" s="18"/>
    </row>
    <row r="448" spans="1:1">
      <c r="A448" s="18"/>
    </row>
    <row r="449" spans="1:1">
      <c r="A449" s="18"/>
    </row>
    <row r="450" spans="1:1">
      <c r="A450" s="18"/>
    </row>
    <row r="451" spans="1:1">
      <c r="A451" s="18"/>
    </row>
    <row r="452" spans="1:1">
      <c r="A452" s="18"/>
    </row>
    <row r="453" spans="1:1">
      <c r="A453" s="18"/>
    </row>
    <row r="454" spans="1:1">
      <c r="A454" s="18"/>
    </row>
    <row r="455" spans="1:1">
      <c r="A455" s="18"/>
    </row>
    <row r="456" spans="1:1">
      <c r="A456" s="18"/>
    </row>
    <row r="457" spans="1:1">
      <c r="A457" s="18"/>
    </row>
    <row r="458" spans="1:1">
      <c r="A458" s="18"/>
    </row>
    <row r="459" spans="1:1">
      <c r="A459" s="18"/>
    </row>
    <row r="460" spans="1:1">
      <c r="A460" s="18"/>
    </row>
    <row r="461" spans="1:1">
      <c r="A461" s="18"/>
    </row>
    <row r="462" spans="1:1">
      <c r="A462" s="18"/>
    </row>
    <row r="463" spans="1:1">
      <c r="A463" s="18"/>
    </row>
    <row r="464" spans="1:1">
      <c r="A464" s="18"/>
    </row>
    <row r="465" spans="1:1">
      <c r="A465" s="18"/>
    </row>
    <row r="466" spans="1:1">
      <c r="A466" s="18"/>
    </row>
    <row r="467" spans="1:1">
      <c r="A467" s="18"/>
    </row>
    <row r="468" spans="1:1">
      <c r="A468" s="18"/>
    </row>
    <row r="469" spans="1:1">
      <c r="A469" s="18"/>
    </row>
    <row r="470" spans="1:1">
      <c r="A470" s="18"/>
    </row>
    <row r="471" spans="1:1">
      <c r="A471" s="18"/>
    </row>
    <row r="472" spans="1:1">
      <c r="A472" s="18"/>
    </row>
    <row r="473" spans="1:1">
      <c r="A473" s="18"/>
    </row>
    <row r="474" spans="1:1">
      <c r="A474" s="18"/>
    </row>
    <row r="475" spans="1:1">
      <c r="A475" s="18"/>
    </row>
    <row r="476" spans="1:1">
      <c r="A476" s="18"/>
    </row>
    <row r="477" spans="1:1">
      <c r="A477" s="18"/>
    </row>
    <row r="478" spans="1:1">
      <c r="A478" s="18"/>
    </row>
    <row r="479" spans="1:1">
      <c r="A479" s="18"/>
    </row>
    <row r="480" spans="1:1">
      <c r="A480" s="18"/>
    </row>
    <row r="481" spans="1:1">
      <c r="A481" s="18"/>
    </row>
    <row r="482" spans="1:1">
      <c r="A482" s="18"/>
    </row>
    <row r="483" spans="1:1">
      <c r="A483" s="18"/>
    </row>
    <row r="484" spans="1:1">
      <c r="A484" s="18"/>
    </row>
    <row r="485" spans="1:1">
      <c r="A485" s="18"/>
    </row>
    <row r="486" spans="1:1">
      <c r="A486" s="18"/>
    </row>
    <row r="487" spans="1:1">
      <c r="A487" s="18"/>
    </row>
    <row r="488" spans="1:1">
      <c r="A488" s="18"/>
    </row>
    <row r="489" spans="1:1">
      <c r="A489" s="18"/>
    </row>
    <row r="490" spans="1:1">
      <c r="A490" s="18"/>
    </row>
    <row r="491" spans="1:1">
      <c r="A491" s="18"/>
    </row>
  </sheetData>
  <mergeCells count="36">
    <mergeCell ref="B11:E11"/>
    <mergeCell ref="B12:E12"/>
    <mergeCell ref="G188:H188"/>
    <mergeCell ref="G187:H187"/>
    <mergeCell ref="C187:F187"/>
    <mergeCell ref="C188:F188"/>
    <mergeCell ref="A31:H31"/>
    <mergeCell ref="A96:H96"/>
    <mergeCell ref="A154:H154"/>
    <mergeCell ref="A145:H145"/>
    <mergeCell ref="A130:H130"/>
    <mergeCell ref="A124:H124"/>
    <mergeCell ref="C28:D28"/>
    <mergeCell ref="E28:H28"/>
    <mergeCell ref="A28:A29"/>
    <mergeCell ref="A111:H111"/>
    <mergeCell ref="A24:H24"/>
    <mergeCell ref="A26:H26"/>
    <mergeCell ref="B7:E7"/>
    <mergeCell ref="B9:E9"/>
    <mergeCell ref="A21:H21"/>
    <mergeCell ref="B16:E16"/>
    <mergeCell ref="B17:E17"/>
    <mergeCell ref="A22:H22"/>
    <mergeCell ref="F14:G14"/>
    <mergeCell ref="B10:E10"/>
    <mergeCell ref="A8:F8"/>
    <mergeCell ref="F2:H6"/>
    <mergeCell ref="B14:E14"/>
    <mergeCell ref="F15:G15"/>
    <mergeCell ref="B28:B29"/>
    <mergeCell ref="A23:H23"/>
    <mergeCell ref="B18:E18"/>
    <mergeCell ref="B15:E15"/>
    <mergeCell ref="B19:E19"/>
    <mergeCell ref="B13:E13"/>
  </mergeCells>
  <phoneticPr fontId="3" type="noConversion"/>
  <pageMargins left="0.9" right="0.59055118110236227" top="0.78740157480314965" bottom="0.78740157480314965" header="0.31496062992125984" footer="0.19685039370078741"/>
  <pageSetup paperSize="9" scale="42" orientation="landscape" verticalDpi="300" r:id="rId1"/>
  <headerFooter alignWithMargins="0"/>
  <rowBreaks count="2" manualBreakCount="2">
    <brk id="101" max="7" man="1"/>
    <brk id="144" max="7" man="1"/>
  </rowBreaks>
  <ignoredErrors>
    <ignoredError sqref="H69:H95 G129:H129 H41:H46 G125:H125 G126:H126 G127:H127 G128:H128"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0"/>
  <sheetViews>
    <sheetView view="pageBreakPreview" topLeftCell="A73" zoomScaleNormal="100" zoomScaleSheetLayoutView="100" workbookViewId="0">
      <selection activeCell="K85" sqref="K85"/>
    </sheetView>
  </sheetViews>
  <sheetFormatPr defaultRowHeight="12.75"/>
  <cols>
    <col min="1" max="1" width="36.28515625" customWidth="1"/>
    <col min="2" max="2" width="12.42578125" customWidth="1"/>
    <col min="4" max="4" width="11.140625" customWidth="1"/>
    <col min="5" max="5" width="14" customWidth="1"/>
    <col min="6" max="6" width="12.42578125" customWidth="1"/>
  </cols>
  <sheetData>
    <row r="1" spans="1:6">
      <c r="E1" s="145" t="s">
        <v>521</v>
      </c>
      <c r="F1" s="145"/>
    </row>
    <row r="2" spans="1:6" ht="38.25" customHeight="1">
      <c r="A2" s="146" t="s">
        <v>522</v>
      </c>
      <c r="B2" s="146"/>
      <c r="C2" s="146"/>
      <c r="D2" s="146"/>
      <c r="E2" s="146"/>
      <c r="F2" s="146"/>
    </row>
    <row r="3" spans="1:6">
      <c r="A3" s="147" t="s">
        <v>217</v>
      </c>
      <c r="B3" s="147"/>
      <c r="C3" s="147"/>
      <c r="D3" s="147" t="s">
        <v>218</v>
      </c>
      <c r="E3" s="147" t="s">
        <v>219</v>
      </c>
      <c r="F3" s="147" t="s">
        <v>220</v>
      </c>
    </row>
    <row r="4" spans="1:6">
      <c r="A4" s="73" t="s">
        <v>221</v>
      </c>
      <c r="B4" s="73" t="s">
        <v>222</v>
      </c>
      <c r="C4" s="74" t="s">
        <v>223</v>
      </c>
      <c r="D4" s="147"/>
      <c r="E4" s="147"/>
      <c r="F4" s="147"/>
    </row>
    <row r="5" spans="1:6">
      <c r="A5" s="143" t="s">
        <v>224</v>
      </c>
      <c r="B5" s="143"/>
      <c r="C5" s="143"/>
      <c r="D5" s="76">
        <v>147629.75</v>
      </c>
      <c r="E5" s="77">
        <v>5573.09</v>
      </c>
      <c r="F5" s="78">
        <v>188.81406000000001</v>
      </c>
    </row>
    <row r="6" spans="1:6">
      <c r="A6" s="79" t="s">
        <v>225</v>
      </c>
      <c r="B6" s="75" t="s">
        <v>226</v>
      </c>
      <c r="C6" s="74" t="s">
        <v>227</v>
      </c>
      <c r="D6" s="80">
        <v>80</v>
      </c>
      <c r="E6" s="81">
        <v>10</v>
      </c>
      <c r="F6" s="78">
        <v>8</v>
      </c>
    </row>
    <row r="7" spans="1:6">
      <c r="A7" s="79" t="s">
        <v>228</v>
      </c>
      <c r="B7" s="75" t="s">
        <v>229</v>
      </c>
      <c r="C7" s="74" t="s">
        <v>227</v>
      </c>
      <c r="D7" s="80">
        <v>80</v>
      </c>
      <c r="E7" s="81">
        <v>10</v>
      </c>
      <c r="F7" s="78">
        <v>8</v>
      </c>
    </row>
    <row r="8" spans="1:6">
      <c r="A8" s="79" t="s">
        <v>230</v>
      </c>
      <c r="B8" s="75" t="s">
        <v>231</v>
      </c>
      <c r="C8" s="74" t="s">
        <v>227</v>
      </c>
      <c r="D8" s="80">
        <v>4</v>
      </c>
      <c r="E8" s="81">
        <v>2</v>
      </c>
      <c r="F8" s="78">
        <v>2</v>
      </c>
    </row>
    <row r="9" spans="1:6" ht="22.5">
      <c r="A9" s="79" t="s">
        <v>232</v>
      </c>
      <c r="B9" s="75" t="s">
        <v>233</v>
      </c>
      <c r="C9" s="74" t="s">
        <v>227</v>
      </c>
      <c r="D9" s="80">
        <v>2.0099999999999998</v>
      </c>
      <c r="E9" s="81">
        <v>2</v>
      </c>
      <c r="F9" s="78">
        <v>1.0049999999999999</v>
      </c>
    </row>
    <row r="10" spans="1:6" ht="22.5">
      <c r="A10" s="79" t="s">
        <v>234</v>
      </c>
      <c r="B10" s="75" t="s">
        <v>235</v>
      </c>
      <c r="C10" s="74" t="s">
        <v>236</v>
      </c>
      <c r="D10" s="80">
        <v>81.510000000000005</v>
      </c>
      <c r="E10" s="81">
        <v>2</v>
      </c>
      <c r="F10" s="78">
        <v>40.755000000000003</v>
      </c>
    </row>
    <row r="11" spans="1:6" ht="22.5">
      <c r="A11" s="79" t="s">
        <v>237</v>
      </c>
      <c r="B11" s="75" t="s">
        <v>238</v>
      </c>
      <c r="C11" s="74" t="s">
        <v>239</v>
      </c>
      <c r="D11" s="80">
        <v>29.76</v>
      </c>
      <c r="E11" s="81">
        <v>10</v>
      </c>
      <c r="F11" s="78">
        <v>2.976</v>
      </c>
    </row>
    <row r="12" spans="1:6">
      <c r="A12" s="79" t="s">
        <v>240</v>
      </c>
      <c r="B12" s="75" t="s">
        <v>241</v>
      </c>
      <c r="C12" s="74" t="s">
        <v>239</v>
      </c>
      <c r="D12" s="80">
        <v>116.14</v>
      </c>
      <c r="E12" s="81">
        <v>34</v>
      </c>
      <c r="F12" s="78">
        <v>3.41588</v>
      </c>
    </row>
    <row r="13" spans="1:6" ht="22.5">
      <c r="A13" s="79" t="s">
        <v>242</v>
      </c>
      <c r="B13" s="75" t="s">
        <v>243</v>
      </c>
      <c r="C13" s="74" t="s">
        <v>244</v>
      </c>
      <c r="D13" s="80">
        <v>99.51</v>
      </c>
      <c r="E13" s="81">
        <v>100</v>
      </c>
      <c r="F13" s="78">
        <v>0.99509999999999998</v>
      </c>
    </row>
    <row r="14" spans="1:6" ht="22.5">
      <c r="A14" s="79" t="s">
        <v>245</v>
      </c>
      <c r="B14" s="75" t="s">
        <v>246</v>
      </c>
      <c r="C14" s="74" t="s">
        <v>227</v>
      </c>
      <c r="D14" s="80">
        <v>325</v>
      </c>
      <c r="E14" s="81">
        <v>1</v>
      </c>
      <c r="F14" s="78">
        <v>325</v>
      </c>
    </row>
    <row r="15" spans="1:6" ht="33.75">
      <c r="A15" s="79" t="s">
        <v>247</v>
      </c>
      <c r="B15" s="75" t="s">
        <v>248</v>
      </c>
      <c r="C15" s="74" t="s">
        <v>227</v>
      </c>
      <c r="D15" s="76">
        <v>2288.5</v>
      </c>
      <c r="E15" s="81">
        <v>2</v>
      </c>
      <c r="F15" s="82">
        <v>1144.25</v>
      </c>
    </row>
    <row r="16" spans="1:6" ht="33.75">
      <c r="A16" s="79" t="s">
        <v>249</v>
      </c>
      <c r="B16" s="75" t="s">
        <v>250</v>
      </c>
      <c r="C16" s="74" t="s">
        <v>239</v>
      </c>
      <c r="D16" s="80">
        <v>40.340000000000003</v>
      </c>
      <c r="E16" s="81">
        <v>20</v>
      </c>
      <c r="F16" s="78">
        <v>2.0169999999999999</v>
      </c>
    </row>
    <row r="17" spans="1:6" ht="22.5">
      <c r="A17" s="79" t="s">
        <v>251</v>
      </c>
      <c r="B17" s="75" t="s">
        <v>252</v>
      </c>
      <c r="C17" s="74" t="s">
        <v>239</v>
      </c>
      <c r="D17" s="80">
        <v>22.47</v>
      </c>
      <c r="E17" s="81">
        <v>10</v>
      </c>
      <c r="F17" s="78">
        <v>2.2469999999999999</v>
      </c>
    </row>
    <row r="18" spans="1:6">
      <c r="A18" s="79" t="s">
        <v>253</v>
      </c>
      <c r="B18" s="75" t="s">
        <v>254</v>
      </c>
      <c r="C18" s="74" t="s">
        <v>255</v>
      </c>
      <c r="D18" s="76">
        <v>1978.51</v>
      </c>
      <c r="E18" s="81">
        <v>93.27</v>
      </c>
      <c r="F18" s="78">
        <v>21.212720000000001</v>
      </c>
    </row>
    <row r="19" spans="1:6">
      <c r="A19" s="79" t="s">
        <v>256</v>
      </c>
      <c r="B19" s="75" t="s">
        <v>257</v>
      </c>
      <c r="C19" s="74" t="s">
        <v>255</v>
      </c>
      <c r="D19" s="76">
        <v>41650</v>
      </c>
      <c r="E19" s="77">
        <v>1960</v>
      </c>
      <c r="F19" s="78">
        <v>21.25</v>
      </c>
    </row>
    <row r="20" spans="1:6">
      <c r="A20" s="79" t="s">
        <v>258</v>
      </c>
      <c r="B20" s="75" t="s">
        <v>259</v>
      </c>
      <c r="C20" s="74" t="s">
        <v>227</v>
      </c>
      <c r="D20" s="80">
        <v>139.86000000000001</v>
      </c>
      <c r="E20" s="81">
        <v>1</v>
      </c>
      <c r="F20" s="78">
        <v>139.86000000000001</v>
      </c>
    </row>
    <row r="21" spans="1:6" ht="33.75">
      <c r="A21" s="79" t="s">
        <v>260</v>
      </c>
      <c r="B21" s="75" t="s">
        <v>261</v>
      </c>
      <c r="C21" s="74" t="s">
        <v>239</v>
      </c>
      <c r="D21" s="80">
        <v>48.63</v>
      </c>
      <c r="E21" s="81">
        <v>10</v>
      </c>
      <c r="F21" s="78">
        <v>4.8630000000000004</v>
      </c>
    </row>
    <row r="22" spans="1:6">
      <c r="A22" s="79" t="s">
        <v>262</v>
      </c>
      <c r="B22" s="75" t="s">
        <v>263</v>
      </c>
      <c r="C22" s="74" t="s">
        <v>227</v>
      </c>
      <c r="D22" s="80">
        <v>220</v>
      </c>
      <c r="E22" s="81">
        <v>5</v>
      </c>
      <c r="F22" s="78">
        <v>44</v>
      </c>
    </row>
    <row r="23" spans="1:6">
      <c r="A23" s="79" t="s">
        <v>264</v>
      </c>
      <c r="B23" s="75" t="s">
        <v>265</v>
      </c>
      <c r="C23" s="74" t="s">
        <v>227</v>
      </c>
      <c r="D23" s="80">
        <v>160.80000000000001</v>
      </c>
      <c r="E23" s="81">
        <v>2</v>
      </c>
      <c r="F23" s="78">
        <v>80.400000000000006</v>
      </c>
    </row>
    <row r="24" spans="1:6" ht="22.5">
      <c r="A24" s="79" t="s">
        <v>266</v>
      </c>
      <c r="B24" s="75" t="s">
        <v>267</v>
      </c>
      <c r="C24" s="74" t="s">
        <v>244</v>
      </c>
      <c r="D24" s="80">
        <v>13.97</v>
      </c>
      <c r="E24" s="81">
        <v>50</v>
      </c>
      <c r="F24" s="78">
        <v>0.27939999999999998</v>
      </c>
    </row>
    <row r="25" spans="1:6" ht="22.5">
      <c r="A25" s="79" t="s">
        <v>268</v>
      </c>
      <c r="B25" s="75" t="s">
        <v>269</v>
      </c>
      <c r="C25" s="74" t="s">
        <v>270</v>
      </c>
      <c r="D25" s="76">
        <v>1848.96</v>
      </c>
      <c r="E25" s="81">
        <v>12</v>
      </c>
      <c r="F25" s="78">
        <v>154.08000000000001</v>
      </c>
    </row>
    <row r="26" spans="1:6">
      <c r="A26" s="79" t="s">
        <v>271</v>
      </c>
      <c r="B26" s="75" t="s">
        <v>272</v>
      </c>
      <c r="C26" s="74" t="s">
        <v>227</v>
      </c>
      <c r="D26" s="80">
        <v>14.99</v>
      </c>
      <c r="E26" s="81">
        <v>1</v>
      </c>
      <c r="F26" s="78">
        <v>14.99</v>
      </c>
    </row>
    <row r="27" spans="1:6" ht="22.5">
      <c r="A27" s="79" t="s">
        <v>273</v>
      </c>
      <c r="B27" s="75" t="s">
        <v>274</v>
      </c>
      <c r="C27" s="74" t="s">
        <v>239</v>
      </c>
      <c r="D27" s="80">
        <v>120</v>
      </c>
      <c r="E27" s="81">
        <v>6</v>
      </c>
      <c r="F27" s="78">
        <v>20</v>
      </c>
    </row>
    <row r="28" spans="1:6">
      <c r="A28" s="79" t="s">
        <v>275</v>
      </c>
      <c r="B28" s="75" t="s">
        <v>276</v>
      </c>
      <c r="C28" s="74" t="s">
        <v>227</v>
      </c>
      <c r="D28" s="80">
        <v>211.98</v>
      </c>
      <c r="E28" s="81">
        <v>1</v>
      </c>
      <c r="F28" s="78">
        <v>211.98</v>
      </c>
    </row>
    <row r="29" spans="1:6" ht="22.5">
      <c r="A29" s="79" t="s">
        <v>277</v>
      </c>
      <c r="B29" s="75" t="s">
        <v>278</v>
      </c>
      <c r="C29" s="74" t="s">
        <v>239</v>
      </c>
      <c r="D29" s="80">
        <v>48.68</v>
      </c>
      <c r="E29" s="81">
        <v>10</v>
      </c>
      <c r="F29" s="78">
        <v>4.8680000000000003</v>
      </c>
    </row>
    <row r="30" spans="1:6">
      <c r="A30" s="79" t="s">
        <v>279</v>
      </c>
      <c r="B30" s="75" t="s">
        <v>280</v>
      </c>
      <c r="C30" s="74" t="s">
        <v>227</v>
      </c>
      <c r="D30" s="80">
        <v>136.80000000000001</v>
      </c>
      <c r="E30" s="81">
        <v>3</v>
      </c>
      <c r="F30" s="78">
        <v>45.6</v>
      </c>
    </row>
    <row r="31" spans="1:6" ht="22.5">
      <c r="A31" s="79" t="s">
        <v>281</v>
      </c>
      <c r="B31" s="75" t="s">
        <v>282</v>
      </c>
      <c r="C31" s="74" t="s">
        <v>227</v>
      </c>
      <c r="D31" s="76">
        <v>2115</v>
      </c>
      <c r="E31" s="81">
        <v>3</v>
      </c>
      <c r="F31" s="78">
        <v>705</v>
      </c>
    </row>
    <row r="32" spans="1:6" ht="22.5">
      <c r="A32" s="79" t="s">
        <v>283</v>
      </c>
      <c r="B32" s="75" t="s">
        <v>284</v>
      </c>
      <c r="C32" s="74" t="s">
        <v>239</v>
      </c>
      <c r="D32" s="80">
        <v>57</v>
      </c>
      <c r="E32" s="81">
        <v>20</v>
      </c>
      <c r="F32" s="78">
        <v>2.85</v>
      </c>
    </row>
    <row r="33" spans="1:6">
      <c r="A33" s="79" t="s">
        <v>285</v>
      </c>
      <c r="B33" s="75" t="s">
        <v>286</v>
      </c>
      <c r="C33" s="74" t="s">
        <v>227</v>
      </c>
      <c r="D33" s="80">
        <v>25.14</v>
      </c>
      <c r="E33" s="81">
        <v>3</v>
      </c>
      <c r="F33" s="78">
        <v>8.3800000000000008</v>
      </c>
    </row>
    <row r="34" spans="1:6" ht="22.5">
      <c r="A34" s="79" t="s">
        <v>287</v>
      </c>
      <c r="B34" s="75" t="s">
        <v>288</v>
      </c>
      <c r="C34" s="74" t="s">
        <v>239</v>
      </c>
      <c r="D34" s="80">
        <v>118.77</v>
      </c>
      <c r="E34" s="81">
        <v>30</v>
      </c>
      <c r="F34" s="78">
        <v>3.9590000000000001</v>
      </c>
    </row>
    <row r="35" spans="1:6">
      <c r="A35" s="79" t="s">
        <v>289</v>
      </c>
      <c r="B35" s="75" t="s">
        <v>290</v>
      </c>
      <c r="C35" s="74" t="s">
        <v>255</v>
      </c>
      <c r="D35" s="76">
        <v>4900.9399999999996</v>
      </c>
      <c r="E35" s="81">
        <v>217.82</v>
      </c>
      <c r="F35" s="78">
        <v>22.499949999999998</v>
      </c>
    </row>
    <row r="36" spans="1:6">
      <c r="A36" s="79" t="s">
        <v>291</v>
      </c>
      <c r="B36" s="75" t="s">
        <v>292</v>
      </c>
      <c r="C36" s="74" t="s">
        <v>255</v>
      </c>
      <c r="D36" s="76">
        <v>40300</v>
      </c>
      <c r="E36" s="77">
        <v>1680</v>
      </c>
      <c r="F36" s="78">
        <v>23.988099999999999</v>
      </c>
    </row>
    <row r="37" spans="1:6" ht="22.5">
      <c r="A37" s="79" t="s">
        <v>293</v>
      </c>
      <c r="B37" s="75" t="s">
        <v>294</v>
      </c>
      <c r="C37" s="74" t="s">
        <v>239</v>
      </c>
      <c r="D37" s="80">
        <v>13.51</v>
      </c>
      <c r="E37" s="81">
        <v>5</v>
      </c>
      <c r="F37" s="78">
        <v>2.702</v>
      </c>
    </row>
    <row r="38" spans="1:6" ht="22.5">
      <c r="A38" s="79" t="s">
        <v>295</v>
      </c>
      <c r="B38" s="75" t="s">
        <v>296</v>
      </c>
      <c r="C38" s="74" t="s">
        <v>239</v>
      </c>
      <c r="D38" s="80">
        <v>12.63</v>
      </c>
      <c r="E38" s="81">
        <v>9</v>
      </c>
      <c r="F38" s="78">
        <v>1.40333</v>
      </c>
    </row>
    <row r="39" spans="1:6" ht="22.5">
      <c r="A39" s="79" t="s">
        <v>297</v>
      </c>
      <c r="B39" s="75" t="s">
        <v>298</v>
      </c>
      <c r="C39" s="74" t="s">
        <v>227</v>
      </c>
      <c r="D39" s="76">
        <v>1260</v>
      </c>
      <c r="E39" s="81">
        <v>12</v>
      </c>
      <c r="F39" s="78">
        <v>105</v>
      </c>
    </row>
    <row r="40" spans="1:6" ht="22.5">
      <c r="A40" s="79" t="s">
        <v>299</v>
      </c>
      <c r="B40" s="75" t="s">
        <v>300</v>
      </c>
      <c r="C40" s="74" t="s">
        <v>244</v>
      </c>
      <c r="D40" s="80">
        <v>6.77</v>
      </c>
      <c r="E40" s="81">
        <v>30</v>
      </c>
      <c r="F40" s="78">
        <v>0.22567000000000001</v>
      </c>
    </row>
    <row r="41" spans="1:6">
      <c r="A41" s="79" t="s">
        <v>301</v>
      </c>
      <c r="B41" s="75" t="s">
        <v>302</v>
      </c>
      <c r="C41" s="74" t="s">
        <v>239</v>
      </c>
      <c r="D41" s="80">
        <v>617.63</v>
      </c>
      <c r="E41" s="81">
        <v>9</v>
      </c>
      <c r="F41" s="78">
        <v>68.625559999999993</v>
      </c>
    </row>
    <row r="42" spans="1:6">
      <c r="A42" s="79" t="s">
        <v>303</v>
      </c>
      <c r="B42" s="75" t="s">
        <v>304</v>
      </c>
      <c r="C42" s="74" t="s">
        <v>239</v>
      </c>
      <c r="D42" s="80">
        <v>28.61</v>
      </c>
      <c r="E42" s="81">
        <v>10</v>
      </c>
      <c r="F42" s="78">
        <v>2.8610000000000002</v>
      </c>
    </row>
    <row r="43" spans="1:6">
      <c r="A43" s="79" t="s">
        <v>305</v>
      </c>
      <c r="B43" s="75" t="s">
        <v>306</v>
      </c>
      <c r="C43" s="74" t="s">
        <v>227</v>
      </c>
      <c r="D43" s="80">
        <v>60</v>
      </c>
      <c r="E43" s="81">
        <v>6</v>
      </c>
      <c r="F43" s="78">
        <v>10</v>
      </c>
    </row>
    <row r="44" spans="1:6">
      <c r="A44" s="79" t="s">
        <v>307</v>
      </c>
      <c r="B44" s="75" t="s">
        <v>308</v>
      </c>
      <c r="C44" s="74" t="s">
        <v>227</v>
      </c>
      <c r="D44" s="80">
        <v>30</v>
      </c>
      <c r="E44" s="81">
        <v>3</v>
      </c>
      <c r="F44" s="78">
        <v>10</v>
      </c>
    </row>
    <row r="45" spans="1:6">
      <c r="A45" s="79" t="s">
        <v>309</v>
      </c>
      <c r="B45" s="75" t="s">
        <v>310</v>
      </c>
      <c r="C45" s="74" t="s">
        <v>227</v>
      </c>
      <c r="D45" s="80">
        <v>113.24</v>
      </c>
      <c r="E45" s="81">
        <v>1</v>
      </c>
      <c r="F45" s="78">
        <v>113.24</v>
      </c>
    </row>
    <row r="46" spans="1:6">
      <c r="A46" s="79" t="s">
        <v>311</v>
      </c>
      <c r="B46" s="75" t="s">
        <v>312</v>
      </c>
      <c r="C46" s="74" t="s">
        <v>227</v>
      </c>
      <c r="D46" s="80">
        <v>49.98</v>
      </c>
      <c r="E46" s="81">
        <v>1</v>
      </c>
      <c r="F46" s="78">
        <v>49.98</v>
      </c>
    </row>
    <row r="47" spans="1:6" ht="33.75">
      <c r="A47" s="79" t="s">
        <v>313</v>
      </c>
      <c r="B47" s="75" t="s">
        <v>314</v>
      </c>
      <c r="C47" s="74" t="s">
        <v>315</v>
      </c>
      <c r="D47" s="80">
        <v>126</v>
      </c>
      <c r="E47" s="81">
        <v>1</v>
      </c>
      <c r="F47" s="78">
        <v>126</v>
      </c>
    </row>
    <row r="48" spans="1:6">
      <c r="A48" s="79" t="s">
        <v>316</v>
      </c>
      <c r="B48" s="75" t="s">
        <v>317</v>
      </c>
      <c r="C48" s="74" t="s">
        <v>227</v>
      </c>
      <c r="D48" s="80">
        <v>153</v>
      </c>
      <c r="E48" s="81">
        <v>3</v>
      </c>
      <c r="F48" s="78">
        <v>51</v>
      </c>
    </row>
    <row r="49" spans="1:6">
      <c r="A49" s="79" t="s">
        <v>318</v>
      </c>
      <c r="B49" s="75" t="s">
        <v>319</v>
      </c>
      <c r="C49" s="74" t="s">
        <v>227</v>
      </c>
      <c r="D49" s="80">
        <v>6.27</v>
      </c>
      <c r="E49" s="81">
        <v>3</v>
      </c>
      <c r="F49" s="78">
        <v>2.09</v>
      </c>
    </row>
    <row r="50" spans="1:6" ht="33.75">
      <c r="A50" s="79" t="s">
        <v>320</v>
      </c>
      <c r="B50" s="75" t="s">
        <v>321</v>
      </c>
      <c r="C50" s="74" t="s">
        <v>227</v>
      </c>
      <c r="D50" s="80">
        <v>584.4</v>
      </c>
      <c r="E50" s="81">
        <v>20</v>
      </c>
      <c r="F50" s="78">
        <v>29.22</v>
      </c>
    </row>
    <row r="51" spans="1:6">
      <c r="A51" s="79" t="s">
        <v>322</v>
      </c>
      <c r="B51" s="75" t="s">
        <v>323</v>
      </c>
      <c r="C51" s="74" t="s">
        <v>227</v>
      </c>
      <c r="D51" s="80">
        <v>262.5</v>
      </c>
      <c r="E51" s="81">
        <v>5</v>
      </c>
      <c r="F51" s="78">
        <v>52.5</v>
      </c>
    </row>
    <row r="52" spans="1:6" ht="22.5">
      <c r="A52" s="79" t="s">
        <v>324</v>
      </c>
      <c r="B52" s="75" t="s">
        <v>325</v>
      </c>
      <c r="C52" s="74" t="s">
        <v>227</v>
      </c>
      <c r="D52" s="80">
        <v>94.16</v>
      </c>
      <c r="E52" s="81">
        <v>1</v>
      </c>
      <c r="F52" s="78">
        <v>94.16</v>
      </c>
    </row>
    <row r="53" spans="1:6">
      <c r="A53" s="79" t="s">
        <v>326</v>
      </c>
      <c r="B53" s="75" t="s">
        <v>327</v>
      </c>
      <c r="C53" s="74" t="s">
        <v>227</v>
      </c>
      <c r="D53" s="80">
        <v>616</v>
      </c>
      <c r="E53" s="81">
        <v>8</v>
      </c>
      <c r="F53" s="78">
        <v>77</v>
      </c>
    </row>
    <row r="54" spans="1:6" ht="33.75">
      <c r="A54" s="79" t="s">
        <v>328</v>
      </c>
      <c r="B54" s="75" t="s">
        <v>329</v>
      </c>
      <c r="C54" s="74" t="s">
        <v>227</v>
      </c>
      <c r="D54" s="80">
        <v>95</v>
      </c>
      <c r="E54" s="81">
        <v>1</v>
      </c>
      <c r="F54" s="78">
        <v>95</v>
      </c>
    </row>
    <row r="55" spans="1:6" ht="33.75">
      <c r="A55" s="79" t="s">
        <v>330</v>
      </c>
      <c r="B55" s="75" t="s">
        <v>331</v>
      </c>
      <c r="C55" s="74" t="s">
        <v>239</v>
      </c>
      <c r="D55" s="80">
        <v>13.67</v>
      </c>
      <c r="E55" s="81">
        <v>3</v>
      </c>
      <c r="F55" s="78">
        <v>4.5566700000000004</v>
      </c>
    </row>
    <row r="56" spans="1:6" ht="22.5">
      <c r="A56" s="79" t="s">
        <v>332</v>
      </c>
      <c r="B56" s="75" t="s">
        <v>333</v>
      </c>
      <c r="C56" s="74" t="s">
        <v>244</v>
      </c>
      <c r="D56" s="80">
        <v>121.71</v>
      </c>
      <c r="E56" s="81">
        <v>90</v>
      </c>
      <c r="F56" s="78">
        <v>1.35233</v>
      </c>
    </row>
    <row r="57" spans="1:6">
      <c r="A57" s="79" t="s">
        <v>334</v>
      </c>
      <c r="B57" s="75" t="s">
        <v>335</v>
      </c>
      <c r="C57" s="74" t="s">
        <v>227</v>
      </c>
      <c r="D57" s="76">
        <v>8010</v>
      </c>
      <c r="E57" s="81">
        <v>1</v>
      </c>
      <c r="F57" s="82">
        <v>8010</v>
      </c>
    </row>
    <row r="58" spans="1:6" ht="22.5">
      <c r="A58" s="79" t="s">
        <v>336</v>
      </c>
      <c r="B58" s="75" t="s">
        <v>337</v>
      </c>
      <c r="C58" s="74" t="s">
        <v>227</v>
      </c>
      <c r="D58" s="80">
        <v>219</v>
      </c>
      <c r="E58" s="81">
        <v>1</v>
      </c>
      <c r="F58" s="78">
        <v>219</v>
      </c>
    </row>
    <row r="59" spans="1:6" ht="22.5">
      <c r="A59" s="79" t="s">
        <v>338</v>
      </c>
      <c r="B59" s="75" t="s">
        <v>339</v>
      </c>
      <c r="C59" s="74" t="s">
        <v>227</v>
      </c>
      <c r="D59" s="80">
        <v>4.68</v>
      </c>
      <c r="E59" s="81">
        <v>1</v>
      </c>
      <c r="F59" s="78">
        <v>4.68</v>
      </c>
    </row>
    <row r="60" spans="1:6" ht="33.75">
      <c r="A60" s="79" t="s">
        <v>340</v>
      </c>
      <c r="B60" s="75" t="s">
        <v>341</v>
      </c>
      <c r="C60" s="74" t="s">
        <v>227</v>
      </c>
      <c r="D60" s="80">
        <v>4.24</v>
      </c>
      <c r="E60" s="81">
        <v>1</v>
      </c>
      <c r="F60" s="78">
        <v>4.24</v>
      </c>
    </row>
    <row r="61" spans="1:6" ht="22.5">
      <c r="A61" s="79" t="s">
        <v>342</v>
      </c>
      <c r="B61" s="75" t="s">
        <v>343</v>
      </c>
      <c r="C61" s="74" t="s">
        <v>227</v>
      </c>
      <c r="D61" s="80">
        <v>5.4</v>
      </c>
      <c r="E61" s="81">
        <v>2</v>
      </c>
      <c r="F61" s="78">
        <v>2.7</v>
      </c>
    </row>
    <row r="62" spans="1:6" ht="33.75">
      <c r="A62" s="79" t="s">
        <v>344</v>
      </c>
      <c r="B62" s="75" t="s">
        <v>345</v>
      </c>
      <c r="C62" s="74" t="s">
        <v>227</v>
      </c>
      <c r="D62" s="80">
        <v>9.64</v>
      </c>
      <c r="E62" s="81">
        <v>2</v>
      </c>
      <c r="F62" s="78">
        <v>4.82</v>
      </c>
    </row>
    <row r="63" spans="1:6" ht="22.5">
      <c r="A63" s="79" t="s">
        <v>346</v>
      </c>
      <c r="B63" s="75" t="s">
        <v>347</v>
      </c>
      <c r="C63" s="74" t="s">
        <v>227</v>
      </c>
      <c r="D63" s="80">
        <v>22.41</v>
      </c>
      <c r="E63" s="81">
        <v>3</v>
      </c>
      <c r="F63" s="78">
        <v>7.47</v>
      </c>
    </row>
    <row r="64" spans="1:6" ht="22.5">
      <c r="A64" s="79" t="s">
        <v>348</v>
      </c>
      <c r="B64" s="75" t="s">
        <v>349</v>
      </c>
      <c r="C64" s="74" t="s">
        <v>239</v>
      </c>
      <c r="D64" s="80">
        <v>180</v>
      </c>
      <c r="E64" s="81">
        <v>10</v>
      </c>
      <c r="F64" s="78">
        <v>18</v>
      </c>
    </row>
    <row r="65" spans="1:6" ht="22.5">
      <c r="A65" s="79" t="s">
        <v>350</v>
      </c>
      <c r="B65" s="75" t="s">
        <v>351</v>
      </c>
      <c r="C65" s="74" t="s">
        <v>239</v>
      </c>
      <c r="D65" s="80">
        <v>28</v>
      </c>
      <c r="E65" s="81">
        <v>2</v>
      </c>
      <c r="F65" s="78">
        <v>14</v>
      </c>
    </row>
    <row r="66" spans="1:6">
      <c r="A66" s="79" t="s">
        <v>352</v>
      </c>
      <c r="B66" s="75" t="s">
        <v>353</v>
      </c>
      <c r="C66" s="74" t="s">
        <v>227</v>
      </c>
      <c r="D66" s="76">
        <v>3480</v>
      </c>
      <c r="E66" s="81">
        <v>6</v>
      </c>
      <c r="F66" s="78">
        <v>580</v>
      </c>
    </row>
    <row r="67" spans="1:6">
      <c r="A67" s="79" t="s">
        <v>354</v>
      </c>
      <c r="B67" s="75" t="s">
        <v>355</v>
      </c>
      <c r="C67" s="74" t="s">
        <v>227</v>
      </c>
      <c r="D67" s="80">
        <v>66.75</v>
      </c>
      <c r="E67" s="81">
        <v>1</v>
      </c>
      <c r="F67" s="78">
        <v>66.75</v>
      </c>
    </row>
    <row r="68" spans="1:6">
      <c r="A68" s="79" t="s">
        <v>356</v>
      </c>
      <c r="B68" s="75" t="s">
        <v>357</v>
      </c>
      <c r="C68" s="74" t="s">
        <v>227</v>
      </c>
      <c r="D68" s="80">
        <v>160.80000000000001</v>
      </c>
      <c r="E68" s="81">
        <v>2</v>
      </c>
      <c r="F68" s="78">
        <v>80.400000000000006</v>
      </c>
    </row>
    <row r="69" spans="1:6">
      <c r="A69" s="79" t="s">
        <v>358</v>
      </c>
      <c r="B69" s="75" t="s">
        <v>359</v>
      </c>
      <c r="C69" s="74" t="s">
        <v>227</v>
      </c>
      <c r="D69" s="80">
        <v>40.299999999999997</v>
      </c>
      <c r="E69" s="81">
        <v>1</v>
      </c>
      <c r="F69" s="78">
        <v>40.299999999999997</v>
      </c>
    </row>
    <row r="70" spans="1:6" ht="22.5">
      <c r="A70" s="79" t="s">
        <v>360</v>
      </c>
      <c r="B70" s="75" t="s">
        <v>361</v>
      </c>
      <c r="C70" s="74" t="s">
        <v>227</v>
      </c>
      <c r="D70" s="80">
        <v>55.83</v>
      </c>
      <c r="E70" s="81">
        <v>1</v>
      </c>
      <c r="F70" s="78">
        <v>55.83</v>
      </c>
    </row>
    <row r="71" spans="1:6">
      <c r="A71" s="79" t="s">
        <v>362</v>
      </c>
      <c r="B71" s="75" t="s">
        <v>363</v>
      </c>
      <c r="C71" s="74" t="s">
        <v>227</v>
      </c>
      <c r="D71" s="76">
        <v>1704</v>
      </c>
      <c r="E71" s="81">
        <v>8</v>
      </c>
      <c r="F71" s="78">
        <v>213</v>
      </c>
    </row>
    <row r="72" spans="1:6">
      <c r="A72" s="79" t="s">
        <v>364</v>
      </c>
      <c r="B72" s="75" t="s">
        <v>365</v>
      </c>
      <c r="C72" s="74" t="s">
        <v>227</v>
      </c>
      <c r="D72" s="80">
        <v>262.5</v>
      </c>
      <c r="E72" s="81">
        <v>5</v>
      </c>
      <c r="F72" s="78">
        <v>52.5</v>
      </c>
    </row>
    <row r="73" spans="1:6">
      <c r="A73" s="79" t="s">
        <v>366</v>
      </c>
      <c r="B73" s="75" t="s">
        <v>367</v>
      </c>
      <c r="C73" s="74" t="s">
        <v>227</v>
      </c>
      <c r="D73" s="80">
        <v>120</v>
      </c>
      <c r="E73" s="81">
        <v>2</v>
      </c>
      <c r="F73" s="78">
        <v>60</v>
      </c>
    </row>
    <row r="74" spans="1:6" ht="33.75">
      <c r="A74" s="79" t="s">
        <v>368</v>
      </c>
      <c r="B74" s="75" t="s">
        <v>369</v>
      </c>
      <c r="C74" s="74" t="s">
        <v>227</v>
      </c>
      <c r="D74" s="76">
        <v>1680</v>
      </c>
      <c r="E74" s="81">
        <v>4</v>
      </c>
      <c r="F74" s="78">
        <v>420</v>
      </c>
    </row>
    <row r="75" spans="1:6" ht="33.75">
      <c r="A75" s="79" t="s">
        <v>370</v>
      </c>
      <c r="B75" s="75" t="s">
        <v>371</v>
      </c>
      <c r="C75" s="74" t="s">
        <v>227</v>
      </c>
      <c r="D75" s="76">
        <v>2100</v>
      </c>
      <c r="E75" s="81">
        <v>5</v>
      </c>
      <c r="F75" s="78">
        <v>420</v>
      </c>
    </row>
    <row r="76" spans="1:6" ht="33.75">
      <c r="A76" s="79" t="s">
        <v>372</v>
      </c>
      <c r="B76" s="75" t="s">
        <v>373</v>
      </c>
      <c r="C76" s="74" t="s">
        <v>227</v>
      </c>
      <c r="D76" s="76">
        <v>5460</v>
      </c>
      <c r="E76" s="81">
        <v>13</v>
      </c>
      <c r="F76" s="78">
        <v>420</v>
      </c>
    </row>
    <row r="77" spans="1:6" ht="33.75">
      <c r="A77" s="79" t="s">
        <v>374</v>
      </c>
      <c r="B77" s="75" t="s">
        <v>375</v>
      </c>
      <c r="C77" s="74" t="s">
        <v>227</v>
      </c>
      <c r="D77" s="80">
        <v>840</v>
      </c>
      <c r="E77" s="81">
        <v>2</v>
      </c>
      <c r="F77" s="78">
        <v>420</v>
      </c>
    </row>
    <row r="78" spans="1:6">
      <c r="A78" s="79" t="s">
        <v>376</v>
      </c>
      <c r="B78" s="75" t="s">
        <v>377</v>
      </c>
      <c r="C78" s="74" t="s">
        <v>227</v>
      </c>
      <c r="D78" s="80">
        <v>200</v>
      </c>
      <c r="E78" s="81">
        <v>1</v>
      </c>
      <c r="F78" s="78">
        <v>200</v>
      </c>
    </row>
    <row r="79" spans="1:6" ht="22.5">
      <c r="A79" s="79" t="s">
        <v>378</v>
      </c>
      <c r="B79" s="75" t="s">
        <v>379</v>
      </c>
      <c r="C79" s="74" t="s">
        <v>227</v>
      </c>
      <c r="D79" s="80">
        <v>200</v>
      </c>
      <c r="E79" s="81">
        <v>1</v>
      </c>
      <c r="F79" s="78">
        <v>200</v>
      </c>
    </row>
    <row r="80" spans="1:6">
      <c r="A80" s="79" t="s">
        <v>380</v>
      </c>
      <c r="B80" s="75" t="s">
        <v>381</v>
      </c>
      <c r="C80" s="74" t="s">
        <v>227</v>
      </c>
      <c r="D80" s="80">
        <v>33.6</v>
      </c>
      <c r="E80" s="81">
        <v>2</v>
      </c>
      <c r="F80" s="78">
        <v>16.8</v>
      </c>
    </row>
    <row r="81" spans="1:6">
      <c r="A81" s="79" t="s">
        <v>382</v>
      </c>
      <c r="B81" s="75" t="s">
        <v>383</v>
      </c>
      <c r="C81" s="74" t="s">
        <v>227</v>
      </c>
      <c r="D81" s="80">
        <v>200</v>
      </c>
      <c r="E81" s="81">
        <v>20</v>
      </c>
      <c r="F81" s="78">
        <v>10</v>
      </c>
    </row>
    <row r="82" spans="1:6">
      <c r="A82" s="79" t="s">
        <v>384</v>
      </c>
      <c r="B82" s="75" t="s">
        <v>385</v>
      </c>
      <c r="C82" s="74" t="s">
        <v>227</v>
      </c>
      <c r="D82" s="80">
        <v>100</v>
      </c>
      <c r="E82" s="81">
        <v>20</v>
      </c>
      <c r="F82" s="78">
        <v>5</v>
      </c>
    </row>
    <row r="83" spans="1:6">
      <c r="A83" s="79" t="s">
        <v>386</v>
      </c>
      <c r="B83" s="75" t="s">
        <v>387</v>
      </c>
      <c r="C83" s="74" t="s">
        <v>227</v>
      </c>
      <c r="D83" s="80">
        <v>878.16</v>
      </c>
      <c r="E83" s="81">
        <v>3</v>
      </c>
      <c r="F83" s="78">
        <v>292.72000000000003</v>
      </c>
    </row>
    <row r="84" spans="1:6">
      <c r="A84" s="79" t="s">
        <v>388</v>
      </c>
      <c r="B84" s="75" t="s">
        <v>389</v>
      </c>
      <c r="C84" s="74" t="s">
        <v>227</v>
      </c>
      <c r="D84" s="80">
        <v>306.3</v>
      </c>
      <c r="E84" s="81">
        <v>3</v>
      </c>
      <c r="F84" s="78">
        <v>102.1</v>
      </c>
    </row>
    <row r="85" spans="1:6" ht="22.5">
      <c r="A85" s="79" t="s">
        <v>390</v>
      </c>
      <c r="B85" s="75" t="s">
        <v>391</v>
      </c>
      <c r="C85" s="74" t="s">
        <v>244</v>
      </c>
      <c r="D85" s="80">
        <v>13.24</v>
      </c>
      <c r="E85" s="81">
        <v>20</v>
      </c>
      <c r="F85" s="78">
        <v>0.66200000000000003</v>
      </c>
    </row>
    <row r="86" spans="1:6" ht="22.5">
      <c r="A86" s="79" t="s">
        <v>392</v>
      </c>
      <c r="B86" s="75" t="s">
        <v>393</v>
      </c>
      <c r="C86" s="74" t="s">
        <v>239</v>
      </c>
      <c r="D86" s="80">
        <v>21.22</v>
      </c>
      <c r="E86" s="81">
        <v>10</v>
      </c>
      <c r="F86" s="78">
        <v>2.1219999999999999</v>
      </c>
    </row>
    <row r="87" spans="1:6">
      <c r="A87" s="79" t="s">
        <v>394</v>
      </c>
      <c r="B87" s="75" t="s">
        <v>395</v>
      </c>
      <c r="C87" s="74" t="s">
        <v>227</v>
      </c>
      <c r="D87" s="80">
        <v>37.450000000000003</v>
      </c>
      <c r="E87" s="81">
        <v>1</v>
      </c>
      <c r="F87" s="78">
        <v>37.450000000000003</v>
      </c>
    </row>
    <row r="88" spans="1:6">
      <c r="A88" s="79" t="s">
        <v>396</v>
      </c>
      <c r="B88" s="75" t="s">
        <v>397</v>
      </c>
      <c r="C88" s="74" t="s">
        <v>227</v>
      </c>
      <c r="D88" s="80">
        <v>230</v>
      </c>
      <c r="E88" s="81">
        <v>2</v>
      </c>
      <c r="F88" s="78">
        <v>115</v>
      </c>
    </row>
    <row r="89" spans="1:6">
      <c r="A89" s="79" t="s">
        <v>398</v>
      </c>
      <c r="B89" s="75" t="s">
        <v>399</v>
      </c>
      <c r="C89" s="74" t="s">
        <v>227</v>
      </c>
      <c r="D89" s="80">
        <v>230</v>
      </c>
      <c r="E89" s="81">
        <v>2</v>
      </c>
      <c r="F89" s="78">
        <v>115</v>
      </c>
    </row>
    <row r="90" spans="1:6" ht="33.75">
      <c r="A90" s="79" t="s">
        <v>400</v>
      </c>
      <c r="B90" s="75" t="s">
        <v>401</v>
      </c>
      <c r="C90" s="74" t="s">
        <v>239</v>
      </c>
      <c r="D90" s="80">
        <v>73.08</v>
      </c>
      <c r="E90" s="81">
        <v>10</v>
      </c>
      <c r="F90" s="78">
        <v>7.3079999999999998</v>
      </c>
    </row>
    <row r="91" spans="1:6" ht="22.5">
      <c r="A91" s="79" t="s">
        <v>402</v>
      </c>
      <c r="B91" s="75" t="s">
        <v>403</v>
      </c>
      <c r="C91" s="74" t="s">
        <v>239</v>
      </c>
      <c r="D91" s="80">
        <v>138.36000000000001</v>
      </c>
      <c r="E91" s="81">
        <v>40</v>
      </c>
      <c r="F91" s="78">
        <v>3.4590000000000001</v>
      </c>
    </row>
    <row r="92" spans="1:6" ht="22.5">
      <c r="A92" s="79" t="s">
        <v>404</v>
      </c>
      <c r="B92" s="75" t="s">
        <v>405</v>
      </c>
      <c r="C92" s="74" t="s">
        <v>227</v>
      </c>
      <c r="D92" s="76">
        <v>1450</v>
      </c>
      <c r="E92" s="81">
        <v>1</v>
      </c>
      <c r="F92" s="82">
        <v>1450</v>
      </c>
    </row>
    <row r="93" spans="1:6" ht="33.75">
      <c r="A93" s="79" t="s">
        <v>406</v>
      </c>
      <c r="B93" s="75" t="s">
        <v>407</v>
      </c>
      <c r="C93" s="74" t="s">
        <v>227</v>
      </c>
      <c r="D93" s="76">
        <v>1706.65</v>
      </c>
      <c r="E93" s="81">
        <v>1</v>
      </c>
      <c r="F93" s="82">
        <v>1706.65</v>
      </c>
    </row>
    <row r="94" spans="1:6">
      <c r="A94" s="79" t="s">
        <v>408</v>
      </c>
      <c r="B94" s="75" t="s">
        <v>409</v>
      </c>
      <c r="C94" s="74" t="s">
        <v>227</v>
      </c>
      <c r="D94" s="76">
        <v>2250</v>
      </c>
      <c r="E94" s="81">
        <v>1</v>
      </c>
      <c r="F94" s="82">
        <v>2250</v>
      </c>
    </row>
    <row r="95" spans="1:6" ht="22.5">
      <c r="A95" s="79" t="s">
        <v>410</v>
      </c>
      <c r="B95" s="75" t="s">
        <v>411</v>
      </c>
      <c r="C95" s="74" t="s">
        <v>239</v>
      </c>
      <c r="D95" s="80">
        <v>190</v>
      </c>
      <c r="E95" s="81">
        <v>10</v>
      </c>
      <c r="F95" s="78">
        <v>19</v>
      </c>
    </row>
    <row r="96" spans="1:6" ht="22.5">
      <c r="A96" s="79" t="s">
        <v>412</v>
      </c>
      <c r="B96" s="75" t="s">
        <v>413</v>
      </c>
      <c r="C96" s="74" t="s">
        <v>239</v>
      </c>
      <c r="D96" s="80">
        <v>166.82</v>
      </c>
      <c r="E96" s="81">
        <v>10</v>
      </c>
      <c r="F96" s="78">
        <v>16.681999999999999</v>
      </c>
    </row>
    <row r="97" spans="1:6" ht="33.75">
      <c r="A97" s="79" t="s">
        <v>414</v>
      </c>
      <c r="B97" s="75" t="s">
        <v>415</v>
      </c>
      <c r="C97" s="74" t="s">
        <v>239</v>
      </c>
      <c r="D97" s="80">
        <v>256.85000000000002</v>
      </c>
      <c r="E97" s="81">
        <v>110</v>
      </c>
      <c r="F97" s="78">
        <v>2.335</v>
      </c>
    </row>
    <row r="98" spans="1:6" ht="22.5">
      <c r="A98" s="79" t="s">
        <v>416</v>
      </c>
      <c r="B98" s="75" t="s">
        <v>417</v>
      </c>
      <c r="C98" s="74" t="s">
        <v>239</v>
      </c>
      <c r="D98" s="80">
        <v>137.83000000000001</v>
      </c>
      <c r="E98" s="81">
        <v>110</v>
      </c>
      <c r="F98" s="78">
        <v>1.2529999999999999</v>
      </c>
    </row>
    <row r="99" spans="1:6">
      <c r="A99" s="79" t="s">
        <v>418</v>
      </c>
      <c r="B99" s="75" t="s">
        <v>419</v>
      </c>
      <c r="C99" s="74" t="s">
        <v>227</v>
      </c>
      <c r="D99" s="80">
        <v>82.92</v>
      </c>
      <c r="E99" s="81">
        <v>1</v>
      </c>
      <c r="F99" s="78">
        <v>82.92</v>
      </c>
    </row>
    <row r="100" spans="1:6">
      <c r="A100" s="79" t="s">
        <v>420</v>
      </c>
      <c r="B100" s="75" t="s">
        <v>421</v>
      </c>
      <c r="C100" s="74" t="s">
        <v>227</v>
      </c>
      <c r="D100" s="80">
        <v>46.05</v>
      </c>
      <c r="E100" s="81">
        <v>2</v>
      </c>
      <c r="F100" s="78">
        <v>23.024999999999999</v>
      </c>
    </row>
    <row r="101" spans="1:6" ht="22.5">
      <c r="A101" s="79" t="s">
        <v>422</v>
      </c>
      <c r="B101" s="75" t="s">
        <v>423</v>
      </c>
      <c r="C101" s="74" t="s">
        <v>227</v>
      </c>
      <c r="D101" s="80">
        <v>95.82</v>
      </c>
      <c r="E101" s="81">
        <v>2</v>
      </c>
      <c r="F101" s="78">
        <v>47.91</v>
      </c>
    </row>
    <row r="102" spans="1:6">
      <c r="A102" s="79" t="s">
        <v>424</v>
      </c>
      <c r="B102" s="75" t="s">
        <v>425</v>
      </c>
      <c r="C102" s="74" t="s">
        <v>227</v>
      </c>
      <c r="D102" s="80">
        <v>5</v>
      </c>
      <c r="E102" s="81">
        <v>2</v>
      </c>
      <c r="F102" s="78">
        <v>2.5</v>
      </c>
    </row>
    <row r="103" spans="1:6" ht="22.5">
      <c r="A103" s="79" t="s">
        <v>426</v>
      </c>
      <c r="B103" s="75" t="s">
        <v>427</v>
      </c>
      <c r="C103" s="74" t="s">
        <v>239</v>
      </c>
      <c r="D103" s="80">
        <v>26.91</v>
      </c>
      <c r="E103" s="81">
        <v>10</v>
      </c>
      <c r="F103" s="78">
        <v>2.6909999999999998</v>
      </c>
    </row>
    <row r="104" spans="1:6">
      <c r="A104" s="79" t="s">
        <v>428</v>
      </c>
      <c r="B104" s="75" t="s">
        <v>429</v>
      </c>
      <c r="C104" s="74" t="s">
        <v>227</v>
      </c>
      <c r="D104" s="80">
        <v>86.63</v>
      </c>
      <c r="E104" s="81">
        <v>3</v>
      </c>
      <c r="F104" s="78">
        <v>28.876670000000001</v>
      </c>
    </row>
    <row r="105" spans="1:6" ht="22.5">
      <c r="A105" s="79" t="s">
        <v>430</v>
      </c>
      <c r="B105" s="75" t="s">
        <v>431</v>
      </c>
      <c r="C105" s="74"/>
      <c r="D105" s="80">
        <v>117</v>
      </c>
      <c r="E105" s="81">
        <v>1</v>
      </c>
      <c r="F105" s="78">
        <v>117</v>
      </c>
    </row>
    <row r="106" spans="1:6">
      <c r="A106" s="79" t="s">
        <v>432</v>
      </c>
      <c r="B106" s="75" t="s">
        <v>433</v>
      </c>
      <c r="C106" s="74" t="s">
        <v>227</v>
      </c>
      <c r="D106" s="80">
        <v>200</v>
      </c>
      <c r="E106" s="81">
        <v>2</v>
      </c>
      <c r="F106" s="78">
        <v>100</v>
      </c>
    </row>
    <row r="107" spans="1:6" ht="22.5">
      <c r="A107" s="79" t="s">
        <v>434</v>
      </c>
      <c r="B107" s="75" t="s">
        <v>435</v>
      </c>
      <c r="C107" s="74" t="s">
        <v>227</v>
      </c>
      <c r="D107" s="80">
        <v>115</v>
      </c>
      <c r="E107" s="81">
        <v>1</v>
      </c>
      <c r="F107" s="78">
        <v>115</v>
      </c>
    </row>
    <row r="108" spans="1:6">
      <c r="A108" s="79" t="s">
        <v>436</v>
      </c>
      <c r="B108" s="75" t="s">
        <v>437</v>
      </c>
      <c r="C108" s="74" t="s">
        <v>227</v>
      </c>
      <c r="D108" s="80">
        <v>98.22</v>
      </c>
      <c r="E108" s="81">
        <v>2</v>
      </c>
      <c r="F108" s="78">
        <v>49.11</v>
      </c>
    </row>
    <row r="109" spans="1:6" ht="22.5">
      <c r="A109" s="79" t="s">
        <v>438</v>
      </c>
      <c r="B109" s="75" t="s">
        <v>439</v>
      </c>
      <c r="C109" s="74" t="s">
        <v>227</v>
      </c>
      <c r="D109" s="80">
        <v>27.11</v>
      </c>
      <c r="E109" s="81">
        <v>10</v>
      </c>
      <c r="F109" s="78">
        <v>2.7109999999999999</v>
      </c>
    </row>
    <row r="110" spans="1:6">
      <c r="A110" s="79" t="s">
        <v>440</v>
      </c>
      <c r="B110" s="75" t="s">
        <v>441</v>
      </c>
      <c r="C110" s="74" t="s">
        <v>227</v>
      </c>
      <c r="D110" s="80">
        <v>240</v>
      </c>
      <c r="E110" s="81">
        <v>3</v>
      </c>
      <c r="F110" s="78">
        <v>80</v>
      </c>
    </row>
    <row r="111" spans="1:6">
      <c r="A111" s="79" t="s">
        <v>442</v>
      </c>
      <c r="B111" s="75" t="s">
        <v>443</v>
      </c>
      <c r="C111" s="74" t="s">
        <v>227</v>
      </c>
      <c r="D111" s="80">
        <v>187.68</v>
      </c>
      <c r="E111" s="81">
        <v>2</v>
      </c>
      <c r="F111" s="78">
        <v>93.84</v>
      </c>
    </row>
    <row r="112" spans="1:6">
      <c r="A112" s="79" t="s">
        <v>444</v>
      </c>
      <c r="B112" s="75" t="s">
        <v>445</v>
      </c>
      <c r="C112" s="74" t="s">
        <v>227</v>
      </c>
      <c r="D112" s="80">
        <v>308</v>
      </c>
      <c r="E112" s="81">
        <v>2</v>
      </c>
      <c r="F112" s="78">
        <v>154</v>
      </c>
    </row>
    <row r="113" spans="1:6">
      <c r="A113" s="79" t="s">
        <v>446</v>
      </c>
      <c r="B113" s="75" t="s">
        <v>447</v>
      </c>
      <c r="C113" s="74" t="s">
        <v>227</v>
      </c>
      <c r="D113" s="80">
        <v>60</v>
      </c>
      <c r="E113" s="81">
        <v>5</v>
      </c>
      <c r="F113" s="78">
        <v>12</v>
      </c>
    </row>
    <row r="114" spans="1:6" ht="22.5">
      <c r="A114" s="79" t="s">
        <v>448</v>
      </c>
      <c r="B114" s="75" t="s">
        <v>449</v>
      </c>
      <c r="C114" s="74" t="s">
        <v>227</v>
      </c>
      <c r="D114" s="80">
        <v>147.80000000000001</v>
      </c>
      <c r="E114" s="81">
        <v>10</v>
      </c>
      <c r="F114" s="78">
        <v>14.78</v>
      </c>
    </row>
    <row r="115" spans="1:6">
      <c r="A115" s="79" t="s">
        <v>450</v>
      </c>
      <c r="B115" s="75" t="s">
        <v>451</v>
      </c>
      <c r="C115" s="74" t="s">
        <v>227</v>
      </c>
      <c r="D115" s="80">
        <v>14</v>
      </c>
      <c r="E115" s="81">
        <v>2</v>
      </c>
      <c r="F115" s="78">
        <v>7</v>
      </c>
    </row>
    <row r="116" spans="1:6" ht="22.5">
      <c r="A116" s="79" t="s">
        <v>452</v>
      </c>
      <c r="B116" s="75" t="s">
        <v>453</v>
      </c>
      <c r="C116" s="74" t="s">
        <v>244</v>
      </c>
      <c r="D116" s="80">
        <v>168.02</v>
      </c>
      <c r="E116" s="81">
        <v>9</v>
      </c>
      <c r="F116" s="78">
        <v>18.668890000000001</v>
      </c>
    </row>
    <row r="117" spans="1:6" ht="33.75">
      <c r="A117" s="79" t="s">
        <v>454</v>
      </c>
      <c r="B117" s="75" t="s">
        <v>455</v>
      </c>
      <c r="C117" s="74" t="s">
        <v>239</v>
      </c>
      <c r="D117" s="80">
        <v>100.32</v>
      </c>
      <c r="E117" s="81">
        <v>21</v>
      </c>
      <c r="F117" s="78">
        <v>4.7771400000000002</v>
      </c>
    </row>
    <row r="118" spans="1:6">
      <c r="A118" s="79" t="s">
        <v>456</v>
      </c>
      <c r="B118" s="75" t="s">
        <v>457</v>
      </c>
      <c r="C118" s="74" t="s">
        <v>227</v>
      </c>
      <c r="D118" s="76">
        <v>2176</v>
      </c>
      <c r="E118" s="81">
        <v>32</v>
      </c>
      <c r="F118" s="78">
        <v>68</v>
      </c>
    </row>
    <row r="119" spans="1:6">
      <c r="A119" s="79" t="s">
        <v>458</v>
      </c>
      <c r="B119" s="75" t="s">
        <v>459</v>
      </c>
      <c r="C119" s="74" t="s">
        <v>227</v>
      </c>
      <c r="D119" s="80">
        <v>45.82</v>
      </c>
      <c r="E119" s="81">
        <v>2</v>
      </c>
      <c r="F119" s="78">
        <v>22.91</v>
      </c>
    </row>
    <row r="120" spans="1:6" ht="22.5">
      <c r="A120" s="79" t="s">
        <v>460</v>
      </c>
      <c r="B120" s="75" t="s">
        <v>461</v>
      </c>
      <c r="C120" s="74" t="s">
        <v>227</v>
      </c>
      <c r="D120" s="80">
        <v>65.25</v>
      </c>
      <c r="E120" s="81">
        <v>5</v>
      </c>
      <c r="F120" s="78">
        <v>13.05</v>
      </c>
    </row>
    <row r="121" spans="1:6">
      <c r="A121" s="79" t="s">
        <v>462</v>
      </c>
      <c r="B121" s="75" t="s">
        <v>463</v>
      </c>
      <c r="C121" s="74" t="s">
        <v>227</v>
      </c>
      <c r="D121" s="80">
        <v>40</v>
      </c>
      <c r="E121" s="81">
        <v>1</v>
      </c>
      <c r="F121" s="78">
        <v>40</v>
      </c>
    </row>
    <row r="122" spans="1:6">
      <c r="A122" s="79" t="s">
        <v>464</v>
      </c>
      <c r="B122" s="75" t="s">
        <v>465</v>
      </c>
      <c r="C122" s="74" t="s">
        <v>227</v>
      </c>
      <c r="D122" s="80">
        <v>79</v>
      </c>
      <c r="E122" s="81">
        <v>3</v>
      </c>
      <c r="F122" s="78">
        <v>26.33333</v>
      </c>
    </row>
    <row r="123" spans="1:6">
      <c r="A123" s="79" t="s">
        <v>466</v>
      </c>
      <c r="B123" s="75" t="s">
        <v>467</v>
      </c>
      <c r="C123" s="74" t="s">
        <v>227</v>
      </c>
      <c r="D123" s="80">
        <v>84</v>
      </c>
      <c r="E123" s="81">
        <v>2</v>
      </c>
      <c r="F123" s="78">
        <v>42</v>
      </c>
    </row>
    <row r="124" spans="1:6">
      <c r="A124" s="79" t="s">
        <v>468</v>
      </c>
      <c r="B124" s="75" t="s">
        <v>469</v>
      </c>
      <c r="C124" s="74" t="s">
        <v>239</v>
      </c>
      <c r="D124" s="80">
        <v>45.59</v>
      </c>
      <c r="E124" s="81">
        <v>5</v>
      </c>
      <c r="F124" s="78">
        <v>9.1180000000000003</v>
      </c>
    </row>
    <row r="125" spans="1:6">
      <c r="A125" s="79" t="s">
        <v>470</v>
      </c>
      <c r="B125" s="75" t="s">
        <v>471</v>
      </c>
      <c r="C125" s="74" t="s">
        <v>227</v>
      </c>
      <c r="D125" s="80">
        <v>600</v>
      </c>
      <c r="E125" s="81">
        <v>25</v>
      </c>
      <c r="F125" s="78">
        <v>24</v>
      </c>
    </row>
    <row r="126" spans="1:6">
      <c r="A126" s="79" t="s">
        <v>472</v>
      </c>
      <c r="B126" s="75" t="s">
        <v>473</v>
      </c>
      <c r="C126" s="74" t="s">
        <v>227</v>
      </c>
      <c r="D126" s="80">
        <v>11</v>
      </c>
      <c r="E126" s="81">
        <v>2</v>
      </c>
      <c r="F126" s="78">
        <v>5.5</v>
      </c>
    </row>
    <row r="127" spans="1:6" ht="22.5">
      <c r="A127" s="79" t="s">
        <v>474</v>
      </c>
      <c r="B127" s="75" t="s">
        <v>475</v>
      </c>
      <c r="C127" s="74" t="s">
        <v>476</v>
      </c>
      <c r="D127" s="80">
        <v>158.5</v>
      </c>
      <c r="E127" s="81">
        <v>50</v>
      </c>
      <c r="F127" s="78">
        <v>3.17</v>
      </c>
    </row>
    <row r="128" spans="1:6" ht="22.5">
      <c r="A128" s="79" t="s">
        <v>477</v>
      </c>
      <c r="B128" s="75" t="s">
        <v>478</v>
      </c>
      <c r="C128" s="74" t="s">
        <v>476</v>
      </c>
      <c r="D128" s="80">
        <v>270</v>
      </c>
      <c r="E128" s="81">
        <v>50</v>
      </c>
      <c r="F128" s="78">
        <v>5.4</v>
      </c>
    </row>
    <row r="129" spans="1:6">
      <c r="A129" s="79" t="s">
        <v>479</v>
      </c>
      <c r="B129" s="75" t="s">
        <v>480</v>
      </c>
      <c r="C129" s="74" t="s">
        <v>227</v>
      </c>
      <c r="D129" s="80">
        <v>498.98</v>
      </c>
      <c r="E129" s="81">
        <v>1</v>
      </c>
      <c r="F129" s="78">
        <v>498.98</v>
      </c>
    </row>
    <row r="130" spans="1:6">
      <c r="A130" s="79" t="s">
        <v>481</v>
      </c>
      <c r="B130" s="75" t="s">
        <v>482</v>
      </c>
      <c r="C130" s="74" t="s">
        <v>227</v>
      </c>
      <c r="D130" s="80">
        <v>990</v>
      </c>
      <c r="E130" s="81">
        <v>3</v>
      </c>
      <c r="F130" s="78">
        <v>330</v>
      </c>
    </row>
    <row r="131" spans="1:6">
      <c r="A131" s="79" t="s">
        <v>483</v>
      </c>
      <c r="B131" s="75" t="s">
        <v>484</v>
      </c>
      <c r="C131" s="74" t="s">
        <v>227</v>
      </c>
      <c r="D131" s="80">
        <v>608</v>
      </c>
      <c r="E131" s="81">
        <v>1</v>
      </c>
      <c r="F131" s="78">
        <v>608</v>
      </c>
    </row>
    <row r="132" spans="1:6">
      <c r="A132" s="79" t="s">
        <v>485</v>
      </c>
      <c r="B132" s="75" t="s">
        <v>486</v>
      </c>
      <c r="C132" s="74" t="s">
        <v>227</v>
      </c>
      <c r="D132" s="80">
        <v>608</v>
      </c>
      <c r="E132" s="81">
        <v>1</v>
      </c>
      <c r="F132" s="78">
        <v>608</v>
      </c>
    </row>
    <row r="133" spans="1:6" ht="22.5">
      <c r="A133" s="79" t="s">
        <v>487</v>
      </c>
      <c r="B133" s="75" t="s">
        <v>488</v>
      </c>
      <c r="C133" s="74" t="s">
        <v>239</v>
      </c>
      <c r="D133" s="80">
        <v>106</v>
      </c>
      <c r="E133" s="81">
        <v>5</v>
      </c>
      <c r="F133" s="78">
        <v>21.2</v>
      </c>
    </row>
    <row r="134" spans="1:6">
      <c r="A134" s="79" t="s">
        <v>489</v>
      </c>
      <c r="B134" s="75" t="s">
        <v>490</v>
      </c>
      <c r="C134" s="74" t="s">
        <v>227</v>
      </c>
      <c r="D134" s="80">
        <v>4.4400000000000004</v>
      </c>
      <c r="E134" s="81">
        <v>1</v>
      </c>
      <c r="F134" s="78">
        <v>4.4400000000000004</v>
      </c>
    </row>
    <row r="135" spans="1:6">
      <c r="A135" s="79" t="s">
        <v>491</v>
      </c>
      <c r="B135" s="75" t="s">
        <v>492</v>
      </c>
      <c r="C135" s="74" t="s">
        <v>227</v>
      </c>
      <c r="D135" s="80">
        <v>80</v>
      </c>
      <c r="E135" s="81">
        <v>200</v>
      </c>
      <c r="F135" s="78">
        <v>0.4</v>
      </c>
    </row>
    <row r="136" spans="1:6">
      <c r="A136" s="79" t="s">
        <v>493</v>
      </c>
      <c r="B136" s="75" t="s">
        <v>494</v>
      </c>
      <c r="C136" s="74" t="s">
        <v>227</v>
      </c>
      <c r="D136" s="80">
        <v>22.35</v>
      </c>
      <c r="E136" s="81">
        <v>5</v>
      </c>
      <c r="F136" s="78">
        <v>4.47</v>
      </c>
    </row>
    <row r="137" spans="1:6" ht="22.5">
      <c r="A137" s="79" t="s">
        <v>495</v>
      </c>
      <c r="B137" s="75" t="s">
        <v>496</v>
      </c>
      <c r="C137" s="74" t="s">
        <v>227</v>
      </c>
      <c r="D137" s="80">
        <v>112.5</v>
      </c>
      <c r="E137" s="81">
        <v>2</v>
      </c>
      <c r="F137" s="78">
        <v>56.25</v>
      </c>
    </row>
    <row r="138" spans="1:6" ht="33.75">
      <c r="A138" s="79" t="s">
        <v>497</v>
      </c>
      <c r="B138" s="75" t="s">
        <v>498</v>
      </c>
      <c r="C138" s="74" t="s">
        <v>239</v>
      </c>
      <c r="D138" s="80">
        <v>102.05</v>
      </c>
      <c r="E138" s="81">
        <v>65</v>
      </c>
      <c r="F138" s="78">
        <v>1.57</v>
      </c>
    </row>
    <row r="139" spans="1:6" ht="22.5">
      <c r="A139" s="79" t="s">
        <v>499</v>
      </c>
      <c r="B139" s="75" t="s">
        <v>500</v>
      </c>
      <c r="C139" s="74" t="s">
        <v>227</v>
      </c>
      <c r="D139" s="80">
        <v>569.79999999999995</v>
      </c>
      <c r="E139" s="81">
        <v>10</v>
      </c>
      <c r="F139" s="78">
        <v>56.98</v>
      </c>
    </row>
    <row r="140" spans="1:6" ht="22.5">
      <c r="A140" s="79" t="s">
        <v>501</v>
      </c>
      <c r="B140" s="75" t="s">
        <v>502</v>
      </c>
      <c r="C140" s="74" t="s">
        <v>239</v>
      </c>
      <c r="D140" s="80">
        <v>85.01</v>
      </c>
      <c r="E140" s="81">
        <v>5</v>
      </c>
      <c r="F140" s="78">
        <v>17.001999999999999</v>
      </c>
    </row>
    <row r="141" spans="1:6">
      <c r="A141" s="79" t="s">
        <v>503</v>
      </c>
      <c r="B141" s="75" t="s">
        <v>504</v>
      </c>
      <c r="C141" s="74" t="s">
        <v>227</v>
      </c>
      <c r="D141" s="80">
        <v>769.98</v>
      </c>
      <c r="E141" s="81">
        <v>1</v>
      </c>
      <c r="F141" s="78">
        <v>769.98</v>
      </c>
    </row>
    <row r="142" spans="1:6">
      <c r="A142" s="79" t="s">
        <v>505</v>
      </c>
      <c r="B142" s="75" t="s">
        <v>506</v>
      </c>
      <c r="C142" s="74" t="s">
        <v>227</v>
      </c>
      <c r="D142" s="80">
        <v>382</v>
      </c>
      <c r="E142" s="81">
        <v>4</v>
      </c>
      <c r="F142" s="78">
        <v>95.5</v>
      </c>
    </row>
    <row r="143" spans="1:6">
      <c r="A143" s="79" t="s">
        <v>507</v>
      </c>
      <c r="B143" s="75" t="s">
        <v>508</v>
      </c>
      <c r="C143" s="74" t="s">
        <v>227</v>
      </c>
      <c r="D143" s="80">
        <v>21.45</v>
      </c>
      <c r="E143" s="81">
        <v>1</v>
      </c>
      <c r="F143" s="78">
        <v>21.45</v>
      </c>
    </row>
    <row r="144" spans="1:6">
      <c r="A144" s="79" t="s">
        <v>509</v>
      </c>
      <c r="B144" s="75" t="s">
        <v>510</v>
      </c>
      <c r="C144" s="74" t="s">
        <v>227</v>
      </c>
      <c r="D144" s="80">
        <v>487.31</v>
      </c>
      <c r="E144" s="81">
        <v>1</v>
      </c>
      <c r="F144" s="78">
        <v>487.31</v>
      </c>
    </row>
    <row r="145" spans="1:6">
      <c r="A145" s="79" t="s">
        <v>511</v>
      </c>
      <c r="B145" s="75" t="s">
        <v>512</v>
      </c>
      <c r="C145" s="74" t="s">
        <v>227</v>
      </c>
      <c r="D145" s="80">
        <v>299.94</v>
      </c>
      <c r="E145" s="81">
        <v>1</v>
      </c>
      <c r="F145" s="78">
        <v>299.94</v>
      </c>
    </row>
    <row r="146" spans="1:6">
      <c r="A146" s="79" t="s">
        <v>513</v>
      </c>
      <c r="B146" s="75" t="s">
        <v>514</v>
      </c>
      <c r="C146" s="74" t="s">
        <v>227</v>
      </c>
      <c r="D146" s="80">
        <v>654</v>
      </c>
      <c r="E146" s="81">
        <v>2</v>
      </c>
      <c r="F146" s="78">
        <v>327</v>
      </c>
    </row>
    <row r="147" spans="1:6" ht="22.5">
      <c r="A147" s="79" t="s">
        <v>515</v>
      </c>
      <c r="B147" s="75" t="s">
        <v>516</v>
      </c>
      <c r="C147" s="74" t="s">
        <v>227</v>
      </c>
      <c r="D147" s="80">
        <v>573.84</v>
      </c>
      <c r="E147" s="81">
        <v>9</v>
      </c>
      <c r="F147" s="78">
        <v>63.76</v>
      </c>
    </row>
    <row r="148" spans="1:6" ht="22.5">
      <c r="A148" s="79" t="s">
        <v>515</v>
      </c>
      <c r="B148" s="75" t="s">
        <v>517</v>
      </c>
      <c r="C148" s="74" t="s">
        <v>227</v>
      </c>
      <c r="D148" s="80">
        <v>10</v>
      </c>
      <c r="E148" s="81">
        <v>3</v>
      </c>
      <c r="F148" s="78">
        <v>3.3333300000000001</v>
      </c>
    </row>
    <row r="149" spans="1:6">
      <c r="A149" s="79" t="s">
        <v>518</v>
      </c>
      <c r="B149" s="75" t="s">
        <v>519</v>
      </c>
      <c r="C149" s="74" t="s">
        <v>227</v>
      </c>
      <c r="D149" s="80">
        <v>125</v>
      </c>
      <c r="E149" s="81">
        <v>2</v>
      </c>
      <c r="F149" s="78">
        <v>62.5</v>
      </c>
    </row>
    <row r="150" spans="1:6">
      <c r="A150" s="144" t="s">
        <v>520</v>
      </c>
      <c r="B150" s="144"/>
      <c r="C150" s="144"/>
      <c r="D150" s="83">
        <v>147629.75</v>
      </c>
      <c r="E150" s="84">
        <v>5573.09</v>
      </c>
      <c r="F150" s="85">
        <v>188.81406000000001</v>
      </c>
    </row>
    <row r="151" spans="1:6">
      <c r="A151" s="86"/>
      <c r="B151" s="86"/>
      <c r="C151" s="86"/>
      <c r="D151" s="86"/>
      <c r="E151" s="86"/>
      <c r="F151" s="86"/>
    </row>
    <row r="152" spans="1:6">
      <c r="A152" s="72"/>
      <c r="B152" s="72"/>
      <c r="C152" s="72"/>
      <c r="D152" s="72"/>
      <c r="E152" s="72"/>
      <c r="F152" s="72"/>
    </row>
    <row r="153" spans="1:6">
      <c r="A153" s="72"/>
      <c r="B153" s="72"/>
      <c r="C153" s="72"/>
      <c r="D153" s="72"/>
      <c r="E153" s="72"/>
      <c r="F153" s="72"/>
    </row>
    <row r="154" spans="1:6">
      <c r="A154" s="72" t="s">
        <v>523</v>
      </c>
      <c r="B154" s="72"/>
      <c r="C154" s="72"/>
      <c r="D154" s="72"/>
      <c r="E154" s="72" t="s">
        <v>524</v>
      </c>
      <c r="F154" s="72"/>
    </row>
    <row r="155" spans="1:6">
      <c r="A155" s="72"/>
      <c r="B155" s="72"/>
      <c r="C155" s="72"/>
      <c r="D155" s="72"/>
      <c r="E155" s="72"/>
      <c r="F155" s="72"/>
    </row>
    <row r="156" spans="1:6">
      <c r="A156" s="72"/>
      <c r="B156" s="72"/>
      <c r="C156" s="72"/>
      <c r="D156" s="72"/>
      <c r="E156" s="72"/>
      <c r="F156" s="72"/>
    </row>
    <row r="157" spans="1:6">
      <c r="A157" s="72"/>
      <c r="B157" s="72"/>
      <c r="C157" s="72"/>
      <c r="D157" s="72"/>
      <c r="E157" s="72"/>
      <c r="F157" s="72"/>
    </row>
    <row r="158" spans="1:6">
      <c r="A158" s="72"/>
      <c r="B158" s="72"/>
      <c r="C158" s="72"/>
      <c r="D158" s="72"/>
      <c r="E158" s="72"/>
      <c r="F158" s="72"/>
    </row>
    <row r="159" spans="1:6">
      <c r="A159" s="72"/>
      <c r="B159" s="72"/>
      <c r="C159" s="72"/>
      <c r="D159" s="72"/>
      <c r="E159" s="72"/>
      <c r="F159" s="72"/>
    </row>
    <row r="160" spans="1:6">
      <c r="A160" s="72"/>
      <c r="B160" s="72"/>
      <c r="C160" s="72"/>
      <c r="D160" s="72"/>
      <c r="E160" s="72"/>
      <c r="F160" s="72"/>
    </row>
    <row r="161" spans="1:6">
      <c r="A161" s="72"/>
      <c r="B161" s="72"/>
      <c r="C161" s="72"/>
      <c r="D161" s="72"/>
      <c r="E161" s="72"/>
      <c r="F161" s="72"/>
    </row>
    <row r="162" spans="1:6">
      <c r="A162" s="72"/>
      <c r="B162" s="72"/>
      <c r="C162" s="72"/>
      <c r="D162" s="72"/>
      <c r="E162" s="72"/>
      <c r="F162" s="72"/>
    </row>
    <row r="163" spans="1:6">
      <c r="A163" s="72"/>
      <c r="B163" s="72"/>
      <c r="C163" s="72"/>
      <c r="D163" s="72"/>
      <c r="E163" s="72"/>
      <c r="F163" s="72"/>
    </row>
    <row r="164" spans="1:6">
      <c r="A164" s="72"/>
      <c r="B164" s="72"/>
      <c r="C164" s="72"/>
      <c r="D164" s="72"/>
      <c r="E164" s="72"/>
      <c r="F164" s="72"/>
    </row>
    <row r="165" spans="1:6">
      <c r="A165" s="72"/>
      <c r="B165" s="72"/>
      <c r="C165" s="72"/>
      <c r="D165" s="72"/>
      <c r="E165" s="72"/>
      <c r="F165" s="72"/>
    </row>
    <row r="166" spans="1:6">
      <c r="A166" s="72"/>
      <c r="B166" s="72"/>
      <c r="C166" s="72"/>
      <c r="D166" s="72"/>
      <c r="E166" s="72"/>
      <c r="F166" s="72"/>
    </row>
    <row r="167" spans="1:6">
      <c r="A167" s="72"/>
      <c r="B167" s="72"/>
      <c r="C167" s="72"/>
      <c r="D167" s="72"/>
      <c r="E167" s="72"/>
      <c r="F167" s="72"/>
    </row>
    <row r="168" spans="1:6">
      <c r="A168" s="72"/>
      <c r="B168" s="72"/>
      <c r="C168" s="72"/>
      <c r="D168" s="72"/>
      <c r="E168" s="72"/>
      <c r="F168" s="72"/>
    </row>
    <row r="169" spans="1:6">
      <c r="A169" s="72"/>
      <c r="B169" s="72"/>
      <c r="C169" s="72"/>
      <c r="D169" s="72"/>
      <c r="E169" s="72"/>
      <c r="F169" s="72"/>
    </row>
    <row r="170" spans="1:6">
      <c r="A170" s="72"/>
      <c r="B170" s="72"/>
      <c r="C170" s="72"/>
      <c r="D170" s="72"/>
      <c r="E170" s="72"/>
      <c r="F170" s="72"/>
    </row>
  </sheetData>
  <mergeCells count="8">
    <mergeCell ref="A5:C5"/>
    <mergeCell ref="A150:C150"/>
    <mergeCell ref="E1:F1"/>
    <mergeCell ref="A2:F2"/>
    <mergeCell ref="A3:C3"/>
    <mergeCell ref="D3:D4"/>
    <mergeCell ref="E3:E4"/>
    <mergeCell ref="F3:F4"/>
  </mergeCells>
  <pageMargins left="0.70866141732283472" right="0.70866141732283472" top="0.74803149606299213" bottom="0.74803149606299213"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Осн. фін. пок.</vt:lpstr>
      <vt:lpstr>Лист1</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2025-02-05T15:49:22Z</cp:lastPrinted>
  <dcterms:created xsi:type="dcterms:W3CDTF">2003-03-13T16:00:22Z</dcterms:created>
  <dcterms:modified xsi:type="dcterms:W3CDTF">2025-03-04T14:34:43Z</dcterms:modified>
</cp:coreProperties>
</file>