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Мои документы\На висвітлення 2024 рік\Рік 2024 оприлюднення\Звіт про виконання фін плану 2024\"/>
    </mc:Choice>
  </mc:AlternateContent>
  <bookViews>
    <workbookView xWindow="32760" yWindow="32760" windowWidth="16380" windowHeight="8190" tabRatio="500" firstSheet="5" activeTab="5"/>
  </bookViews>
  <sheets>
    <sheet name="план" sheetId="3" state="hidden" r:id="rId1"/>
    <sheet name="1 кв" sheetId="7" state="hidden" r:id="rId2"/>
    <sheet name="2023" sheetId="13" state="hidden" r:id="rId3"/>
    <sheet name="2 кв" sheetId="15" state="hidden" r:id="rId4"/>
    <sheet name="3 кв" sheetId="16" state="hidden" r:id="rId5"/>
    <sheet name="4 кв" sheetId="17" r:id="rId6"/>
    <sheet name="ін 1-4" sheetId="18" r:id="rId7"/>
    <sheet name="ін 4 " sheetId="20"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s>
  <definedNames>
    <definedName name="__123Graph_XGRAPH3">NA()</definedName>
    <definedName name="ad">'[1]МТР Газ України'!$B$1</definedName>
    <definedName name="as">'[2]МТР Газ України'!$B$1</definedName>
    <definedName name="asdf">[3]Inform!$E$6</definedName>
    <definedName name="asdfg">[3]Inform!$F$2</definedName>
    <definedName name="BuiltIn_Print_Area___1___1">#REF!</definedName>
    <definedName name="ClDate">[4]Inform!$E$6</definedName>
    <definedName name="ClDate_21">[5]Inform!$E$6</definedName>
    <definedName name="ClDate_25">[5]Inform!$E$6</definedName>
    <definedName name="ClDate_6">[6]Inform!$E$6</definedName>
    <definedName name="CompName">[4]Inform!$F$2</definedName>
    <definedName name="CompName_21">[5]Inform!$F$2</definedName>
    <definedName name="CompName_25">[5]Inform!$F$2</definedName>
    <definedName name="CompName_6">[6]Inform!$F$2</definedName>
    <definedName name="CompNameE">[4]Inform!$G$2</definedName>
    <definedName name="CompNameE_21">[5]Inform!$G$2</definedName>
    <definedName name="CompNameE_25">[5]Inform!$G$2</definedName>
    <definedName name="CompNameE_6">[6]Inform!$G$2</definedName>
    <definedName name="Cost_Category_National_ID">#REF!</definedName>
    <definedName name="Cе511">#REF!</definedName>
    <definedName name="d">'[7]МТР Газ України'!$B$4</definedName>
    <definedName name="dCPIb">NA()</definedName>
    <definedName name="dPPIb">NA()</definedName>
    <definedName name="ds">'[8]7  Інші витрати'!#REF!</definedName>
    <definedName name="Excel_BuiltIn_Database">'[9]Ener '!$A$1:$G$2645</definedName>
    <definedName name="Fact_Type_ID">#REF!</definedName>
    <definedName name="G">'[10]МТР Газ України'!$B$1</definedName>
    <definedName name="ij1sssss">'[11]7  Інші витрати'!#REF!</definedName>
    <definedName name="LastItem">[12]Лист1!$A$1</definedName>
    <definedName name="Load">'[13]МТР Газ України'!$B$4</definedName>
    <definedName name="Load_ID">'[14]МТР Газ України'!$B$4</definedName>
    <definedName name="Load_ID_10">'[15]7  Інші витрати'!#REF!</definedName>
    <definedName name="Load_ID_11">'[16]МТР Газ України'!$B$4</definedName>
    <definedName name="Load_ID_12">'[16]МТР Газ України'!$B$4</definedName>
    <definedName name="Load_ID_13">'[16]МТР Газ України'!$B$4</definedName>
    <definedName name="Load_ID_14">'[16]МТР Газ України'!$B$4</definedName>
    <definedName name="Load_ID_15">'[16]МТР Газ України'!$B$4</definedName>
    <definedName name="Load_ID_16">'[16]МТР Газ України'!$B$4</definedName>
    <definedName name="Load_ID_17">'[16]МТР Газ України'!$B$4</definedName>
    <definedName name="Load_ID_18">'[17]МТР Газ України'!$B$4</definedName>
    <definedName name="Load_ID_19">'[18]МТР Газ України'!$B$4</definedName>
    <definedName name="Load_ID_20">'[17]МТР Газ України'!$B$4</definedName>
    <definedName name="Load_ID_200">'[13]МТР Газ України'!$B$4</definedName>
    <definedName name="Load_ID_21">'[19]МТР Газ України'!$B$4</definedName>
    <definedName name="Load_ID_23">'[18]МТР Газ України'!$B$4</definedName>
    <definedName name="Load_ID_25">'[19]МТР Газ України'!$B$4</definedName>
    <definedName name="Load_ID_542">'[20]МТР Газ України'!$B$4</definedName>
    <definedName name="Load_ID_6">'[16]МТР Газ України'!$B$4</definedName>
    <definedName name="OpDate">[4]Inform!$E$5</definedName>
    <definedName name="OpDate_21">[5]Inform!$E$5</definedName>
    <definedName name="OpDate_25">[5]Inform!$E$5</definedName>
    <definedName name="OpDate_6">[6]Inform!$E$5</definedName>
    <definedName name="QR">[21]Inform!$E$5</definedName>
    <definedName name="qw">[3]Inform!$E$5</definedName>
    <definedName name="qwert">[3]Inform!$G$2</definedName>
    <definedName name="qwerty">'[2]МТР Газ України'!$B$4</definedName>
    <definedName name="ShowFil">[12]!ShowFil</definedName>
    <definedName name="SU_ID">#REF!</definedName>
    <definedName name="Time_ID">'[14]МТР Газ України'!$B$1</definedName>
    <definedName name="Time_ID_10">'[15]7  Інші витрати'!#REF!</definedName>
    <definedName name="Time_ID_11">'[16]МТР Газ України'!$B$1</definedName>
    <definedName name="Time_ID_12">'[16]МТР Газ України'!$B$1</definedName>
    <definedName name="Time_ID_13">'[16]МТР Газ України'!$B$1</definedName>
    <definedName name="Time_ID_14">'[16]МТР Газ України'!$B$1</definedName>
    <definedName name="Time_ID_15">'[16]МТР Газ України'!$B$1</definedName>
    <definedName name="Time_ID_16">'[16]МТР Газ України'!$B$1</definedName>
    <definedName name="Time_ID_17">'[16]МТР Газ України'!$B$1</definedName>
    <definedName name="Time_ID_18">'[17]МТР Газ України'!$B$1</definedName>
    <definedName name="Time_ID_19">'[18]МТР Газ України'!$B$1</definedName>
    <definedName name="Time_ID_20">'[17]МТР Газ України'!$B$1</definedName>
    <definedName name="Time_ID_21">'[19]МТР Газ України'!$B$1</definedName>
    <definedName name="Time_ID_23">'[18]МТР Газ України'!$B$1</definedName>
    <definedName name="Time_ID_25">'[19]МТР Газ України'!$B$1</definedName>
    <definedName name="Time_ID_6">'[16]МТР Газ України'!$B$1</definedName>
    <definedName name="Time_ID0">'[14]МТР Газ України'!$F$1</definedName>
    <definedName name="Time_ID0_10">'[15]7  Інші витрати'!#REF!</definedName>
    <definedName name="Time_ID0_11">'[16]МТР Газ України'!$F$1</definedName>
    <definedName name="Time_ID0_12">'[16]МТР Газ України'!$F$1</definedName>
    <definedName name="Time_ID0_13">'[16]МТР Газ України'!$F$1</definedName>
    <definedName name="Time_ID0_14">'[16]МТР Газ України'!$F$1</definedName>
    <definedName name="Time_ID0_15">'[16]МТР Газ України'!$F$1</definedName>
    <definedName name="Time_ID0_16">'[16]МТР Газ України'!$F$1</definedName>
    <definedName name="Time_ID0_17">'[16]МТР Газ України'!$F$1</definedName>
    <definedName name="Time_ID0_18">'[17]МТР Газ України'!$F$1</definedName>
    <definedName name="Time_ID0_19">'[18]МТР Газ України'!$F$1</definedName>
    <definedName name="Time_ID0_20">'[17]МТР Газ України'!$F$1</definedName>
    <definedName name="Time_ID0_21">'[19]МТР Газ України'!$F$1</definedName>
    <definedName name="Time_ID0_23">'[18]МТР Газ України'!$F$1</definedName>
    <definedName name="Time_ID0_25">'[19]МТР Газ України'!$F$1</definedName>
    <definedName name="Time_ID0_6">'[16]МТР Газ України'!$F$1</definedName>
    <definedName name="ttttttt">#REF!</definedName>
    <definedName name="Unit">[4]Inform!$E$38</definedName>
    <definedName name="Unit_21">[5]Inform!$E$38</definedName>
    <definedName name="Unit_25">[5]Inform!$E$38</definedName>
    <definedName name="Unit_6">[6]Inform!$E$38</definedName>
    <definedName name="WQER">'[22]МТР Газ України'!$B$4</definedName>
    <definedName name="wr">'[22]МТР Газ України'!$B$4</definedName>
    <definedName name="yyyy">#REF!</definedName>
    <definedName name="zx">'[2]МТР Газ України'!$F$1</definedName>
    <definedName name="zxc">[3]Inform!$E$38</definedName>
    <definedName name="а">'[11]7  Інші витрати'!#REF!</definedName>
    <definedName name="ав">#REF!</definedName>
    <definedName name="аен">'[22]МТР Газ України'!$B$4</definedName>
    <definedName name="в">'[23]МТР Газ України'!$F$1</definedName>
    <definedName name="ватт">'[24]БАЗА  '!#REF!</definedName>
    <definedName name="Д">'[13]МТР Газ України'!$B$4</definedName>
    <definedName name="е">#REF!</definedName>
    <definedName name="є">#REF!</definedName>
    <definedName name="_xlnm.Print_Titles" localSheetId="1">'1 кв'!$28:$30</definedName>
    <definedName name="_xlnm.Print_Titles" localSheetId="3">'2 кв'!$28:$30</definedName>
    <definedName name="_xlnm.Print_Titles" localSheetId="4">'3 кв'!$28:$30</definedName>
    <definedName name="_xlnm.Print_Titles" localSheetId="5">'4 кв'!$28:$30</definedName>
    <definedName name="і">[25]Inform!$F$2</definedName>
    <definedName name="ів">#REF!</definedName>
    <definedName name="ів___0">#REF!</definedName>
    <definedName name="ів_22">#REF!</definedName>
    <definedName name="ів_26">#REF!</definedName>
    <definedName name="іваіа">'[26]7  Інші витрати'!#REF!</definedName>
    <definedName name="іваф">#REF!</definedName>
    <definedName name="івів">'[10]МТР Газ України'!$B$1</definedName>
    <definedName name="іцу">[21]Inform!$G$2</definedName>
    <definedName name="йуц">#REF!</definedName>
    <definedName name="йцу">#REF!</definedName>
    <definedName name="йцуйй">#REF!</definedName>
    <definedName name="йцукц">'[26]7  Інші витрати'!#REF!</definedName>
    <definedName name="КЕ">#REF!</definedName>
    <definedName name="КЕ___0">#REF!</definedName>
    <definedName name="КЕ_22">#REF!</definedName>
    <definedName name="КЕ_26">#REF!</definedName>
    <definedName name="кен">#REF!</definedName>
    <definedName name="л">#REF!</definedName>
    <definedName name="п">'[11]7  Інші витрати'!#REF!</definedName>
    <definedName name="пдв">'[13]МТР Газ України'!$B$4</definedName>
    <definedName name="пдв_утг">'[13]МТР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#REF!</definedName>
    <definedName name="ппп">[27]Inform!$E$6</definedName>
    <definedName name="р">#REF!</definedName>
    <definedName name="т">[28]Inform!$E$6</definedName>
    <definedName name="тариф">[29]Inform!$G$2</definedName>
    <definedName name="уйцукйцуйу">#REF!</definedName>
    <definedName name="уке">[30]Inform!$G$2</definedName>
    <definedName name="УТГ">'[13]МТР Газ України'!$B$4</definedName>
    <definedName name="фів">'[22]МТР Газ України'!$B$4</definedName>
    <definedName name="фіваіф">'[26]7  Інші витрати'!#REF!</definedName>
    <definedName name="фф">'[23]МТР Газ України'!$F$1</definedName>
    <definedName name="ц">'[11]7  Інші витрати'!#REF!</definedName>
    <definedName name="ччч">'[31]БАЗА  '!#REF!</definedName>
    <definedName name="ш">#REF!</definedName>
  </definedNames>
  <calcPr calcId="162913" iterateDelta="1E-4"/>
  <fileRecoveryPr repairLoad="1"/>
</workbook>
</file>

<file path=xl/calcChain.xml><?xml version="1.0" encoding="utf-8"?>
<calcChain xmlns="http://schemas.openxmlformats.org/spreadsheetml/2006/main">
  <c r="B6" i="20" l="1"/>
  <c r="C6" i="20"/>
  <c r="D6" i="20" s="1"/>
  <c r="E6" i="20" s="1"/>
  <c r="F6" i="20" s="1"/>
  <c r="G6" i="20" s="1"/>
  <c r="H6" i="20" s="1"/>
  <c r="I6" i="20" s="1"/>
  <c r="J6" i="20" s="1"/>
  <c r="K6" i="20" s="1"/>
  <c r="E10" i="20"/>
  <c r="F10" i="20"/>
  <c r="G10" i="20" s="1"/>
  <c r="H10" i="20" s="1"/>
  <c r="I10" i="20" s="1"/>
  <c r="J10" i="20" s="1"/>
  <c r="K10" i="20" s="1"/>
  <c r="D11" i="20"/>
  <c r="G11" i="20" s="1"/>
  <c r="E11" i="20"/>
  <c r="F11" i="20"/>
  <c r="H11" i="20"/>
  <c r="E14" i="20"/>
  <c r="F14" i="20" s="1"/>
  <c r="G14" i="20" s="1"/>
  <c r="H14" i="20" s="1"/>
  <c r="I14" i="20" s="1"/>
  <c r="J14" i="20" s="1"/>
  <c r="K14" i="20" s="1"/>
  <c r="D18" i="20" s="1"/>
  <c r="E18" i="20" s="1"/>
  <c r="F18" i="20" s="1"/>
  <c r="G18" i="20" s="1"/>
  <c r="H18" i="20" s="1"/>
  <c r="I18" i="20" s="1"/>
  <c r="J18" i="20" s="1"/>
  <c r="K18" i="20" s="1"/>
  <c r="F19" i="20"/>
  <c r="G19" i="20"/>
  <c r="H19" i="20"/>
  <c r="E22" i="20"/>
  <c r="F22" i="20"/>
  <c r="G22" i="20"/>
  <c r="F25" i="20"/>
  <c r="G25" i="20"/>
  <c r="F28" i="20"/>
  <c r="G28" i="20"/>
  <c r="H28" i="20"/>
  <c r="K28" i="20" s="1"/>
  <c r="I28" i="20"/>
  <c r="J28" i="20"/>
  <c r="B6" i="18"/>
  <c r="C6" i="18" s="1"/>
  <c r="D6" i="18"/>
  <c r="E6" i="18" s="1"/>
  <c r="F6" i="18" s="1"/>
  <c r="G6" i="18" s="1"/>
  <c r="H6" i="18"/>
  <c r="I6" i="18" s="1"/>
  <c r="J6" i="18" s="1"/>
  <c r="K6" i="18" s="1"/>
  <c r="E10" i="18"/>
  <c r="F10" i="18" s="1"/>
  <c r="G10" i="18" s="1"/>
  <c r="H10" i="18" s="1"/>
  <c r="I10" i="18"/>
  <c r="J10" i="18" s="1"/>
  <c r="K10" i="18" s="1"/>
  <c r="F11" i="18"/>
  <c r="G11" i="18"/>
  <c r="J11" i="18"/>
  <c r="K11" i="18"/>
  <c r="E14" i="18"/>
  <c r="F14" i="18"/>
  <c r="G14" i="18" s="1"/>
  <c r="H14" i="18"/>
  <c r="I14" i="18" s="1"/>
  <c r="J14" i="18" s="1"/>
  <c r="K14" i="18" s="1"/>
  <c r="D18" i="18"/>
  <c r="E18" i="18" s="1"/>
  <c r="F18" i="18" s="1"/>
  <c r="G18" i="18" s="1"/>
  <c r="H18" i="18" s="1"/>
  <c r="I18" i="18" s="1"/>
  <c r="J18" i="18" s="1"/>
  <c r="K18" i="18" s="1"/>
  <c r="F19" i="18"/>
  <c r="G19" i="18"/>
  <c r="D22" i="18"/>
  <c r="O22" i="18"/>
  <c r="O23" i="18"/>
  <c r="P23" i="18"/>
  <c r="Q23" i="18"/>
  <c r="O24" i="18"/>
  <c r="E25" i="18"/>
  <c r="O25" i="18"/>
  <c r="P25" i="18"/>
  <c r="Q25" i="18"/>
  <c r="O26" i="18"/>
  <c r="O27" i="18"/>
  <c r="P27" i="18"/>
  <c r="Q27" i="18"/>
  <c r="H28" i="18"/>
  <c r="K28" i="18" s="1"/>
  <c r="I28" i="18"/>
  <c r="J28" i="18"/>
  <c r="R28" i="18"/>
  <c r="P31" i="18"/>
  <c r="Q31" i="18"/>
  <c r="R31" i="18"/>
  <c r="S31" i="18"/>
  <c r="R32" i="18"/>
  <c r="F33" i="17"/>
  <c r="C34" i="17"/>
  <c r="C33" i="17" s="1"/>
  <c r="E34" i="17"/>
  <c r="C35" i="17"/>
  <c r="E35" i="17"/>
  <c r="C36" i="17"/>
  <c r="E36" i="17"/>
  <c r="G36" i="17"/>
  <c r="H36" i="17"/>
  <c r="F37" i="17"/>
  <c r="C38" i="17"/>
  <c r="C37" i="17" s="1"/>
  <c r="E38" i="17"/>
  <c r="C39" i="17"/>
  <c r="E39" i="17"/>
  <c r="G39" i="17"/>
  <c r="H39" i="17"/>
  <c r="C41" i="17"/>
  <c r="E41" i="17"/>
  <c r="G41" i="17"/>
  <c r="C42" i="17"/>
  <c r="E42" i="17"/>
  <c r="G42" i="17"/>
  <c r="C43" i="17"/>
  <c r="E43" i="17"/>
  <c r="G43" i="17"/>
  <c r="C44" i="17"/>
  <c r="E44" i="17"/>
  <c r="F44" i="17"/>
  <c r="C45" i="17"/>
  <c r="C40" i="17" s="1"/>
  <c r="F45" i="17"/>
  <c r="C46" i="17"/>
  <c r="E46" i="17"/>
  <c r="G46" i="17"/>
  <c r="G47" i="17"/>
  <c r="C50" i="17"/>
  <c r="E50" i="17"/>
  <c r="C51" i="17"/>
  <c r="E51" i="17"/>
  <c r="F52" i="17"/>
  <c r="C53" i="17"/>
  <c r="E53" i="17"/>
  <c r="G53" i="17"/>
  <c r="H53" i="17"/>
  <c r="C54" i="17"/>
  <c r="E54" i="17"/>
  <c r="G54" i="17" s="1"/>
  <c r="C55" i="17"/>
  <c r="E55" i="17"/>
  <c r="G55" i="17"/>
  <c r="C56" i="17"/>
  <c r="E56" i="17"/>
  <c r="G56" i="17"/>
  <c r="H56" i="17"/>
  <c r="C57" i="17"/>
  <c r="E57" i="17"/>
  <c r="G57" i="17" s="1"/>
  <c r="C58" i="17"/>
  <c r="E58" i="17"/>
  <c r="G58" i="17" s="1"/>
  <c r="F59" i="17"/>
  <c r="C60" i="17"/>
  <c r="C59" i="17" s="1"/>
  <c r="E60" i="17"/>
  <c r="G60" i="17" s="1"/>
  <c r="C61" i="17"/>
  <c r="E61" i="17"/>
  <c r="G61" i="17"/>
  <c r="H61" i="17"/>
  <c r="C62" i="17"/>
  <c r="E62" i="17"/>
  <c r="G62" i="17" s="1"/>
  <c r="C63" i="17"/>
  <c r="E63" i="17"/>
  <c r="G63" i="17"/>
  <c r="C64" i="17"/>
  <c r="E64" i="17"/>
  <c r="G64" i="17"/>
  <c r="H64" i="17"/>
  <c r="C65" i="17"/>
  <c r="E65" i="17"/>
  <c r="G65" i="17" s="1"/>
  <c r="C66" i="17"/>
  <c r="E66" i="17"/>
  <c r="G66" i="17" s="1"/>
  <c r="C67" i="17"/>
  <c r="E67" i="17"/>
  <c r="G67" i="17" s="1"/>
  <c r="F68" i="17"/>
  <c r="C69" i="17"/>
  <c r="E69" i="17"/>
  <c r="G69" i="17" s="1"/>
  <c r="G68" i="17" s="1"/>
  <c r="E70" i="17"/>
  <c r="G70" i="17"/>
  <c r="E71" i="17"/>
  <c r="G71" i="17"/>
  <c r="C72" i="17"/>
  <c r="E72" i="17"/>
  <c r="G72" i="17"/>
  <c r="H72" i="17"/>
  <c r="C73" i="17"/>
  <c r="D73" i="17"/>
  <c r="E73" i="17"/>
  <c r="G73" i="17" s="1"/>
  <c r="C75" i="17"/>
  <c r="D75" i="17"/>
  <c r="E75" i="17"/>
  <c r="G75" i="17"/>
  <c r="F76" i="17"/>
  <c r="C77" i="17"/>
  <c r="D77" i="17"/>
  <c r="E77" i="17"/>
  <c r="G77" i="17" s="1"/>
  <c r="I77" i="17"/>
  <c r="C78" i="17"/>
  <c r="D78" i="17"/>
  <c r="G78" i="17"/>
  <c r="I78" i="17"/>
  <c r="E79" i="17"/>
  <c r="F79" i="17"/>
  <c r="G79" i="17" s="1"/>
  <c r="C80" i="17"/>
  <c r="D80" i="17"/>
  <c r="G80" i="17"/>
  <c r="I80" i="17"/>
  <c r="C81" i="17"/>
  <c r="D81" i="17"/>
  <c r="G81" i="17"/>
  <c r="I81" i="17"/>
  <c r="E82" i="17"/>
  <c r="F82" i="17"/>
  <c r="G82" i="17" s="1"/>
  <c r="I82" i="17"/>
  <c r="C83" i="17"/>
  <c r="D83" i="17"/>
  <c r="G83" i="17"/>
  <c r="I83" i="17"/>
  <c r="C84" i="17"/>
  <c r="D84" i="17"/>
  <c r="G84" i="17"/>
  <c r="I84" i="17"/>
  <c r="C85" i="17"/>
  <c r="D85" i="17"/>
  <c r="G85" i="17"/>
  <c r="I85" i="17"/>
  <c r="C86" i="17"/>
  <c r="D86" i="17"/>
  <c r="G86" i="17"/>
  <c r="I86" i="17"/>
  <c r="C87" i="17"/>
  <c r="D87" i="17"/>
  <c r="G87" i="17"/>
  <c r="I87" i="17"/>
  <c r="C88" i="17"/>
  <c r="D88" i="17"/>
  <c r="G88" i="17"/>
  <c r="I88" i="17"/>
  <c r="G89" i="17"/>
  <c r="I89" i="17"/>
  <c r="Q92" i="17"/>
  <c r="R92" i="17"/>
  <c r="I93" i="17"/>
  <c r="F94" i="17"/>
  <c r="H94" i="17"/>
  <c r="C95" i="17"/>
  <c r="E95" i="17"/>
  <c r="E94" i="17" s="1"/>
  <c r="G95" i="17"/>
  <c r="H95" i="17"/>
  <c r="C96" i="17"/>
  <c r="G96" i="17"/>
  <c r="C97" i="17"/>
  <c r="G97" i="17"/>
  <c r="I97" i="17"/>
  <c r="C98" i="17"/>
  <c r="G98" i="17"/>
  <c r="I98" i="17"/>
  <c r="F99" i="17"/>
  <c r="C100" i="17"/>
  <c r="E100" i="17"/>
  <c r="G100" i="17"/>
  <c r="H100" i="17"/>
  <c r="E101" i="17"/>
  <c r="G101" i="17" s="1"/>
  <c r="C103" i="17"/>
  <c r="E103" i="17"/>
  <c r="E102" i="17" s="1"/>
  <c r="C104" i="17"/>
  <c r="C102" i="17" s="1"/>
  <c r="E104" i="17"/>
  <c r="G104" i="17" s="1"/>
  <c r="H104" i="17"/>
  <c r="C105" i="17"/>
  <c r="G105" i="17"/>
  <c r="C106" i="17"/>
  <c r="G106" i="17"/>
  <c r="I108" i="17"/>
  <c r="C109" i="17"/>
  <c r="D109" i="17"/>
  <c r="E109" i="17"/>
  <c r="F109" i="17"/>
  <c r="G109" i="17"/>
  <c r="C110" i="17"/>
  <c r="G110" i="17"/>
  <c r="I110" i="17"/>
  <c r="C111" i="17"/>
  <c r="G111" i="17"/>
  <c r="I111" i="17"/>
  <c r="C112" i="17"/>
  <c r="G112" i="17"/>
  <c r="I112" i="17"/>
  <c r="C113" i="17"/>
  <c r="G113" i="17"/>
  <c r="I113" i="17"/>
  <c r="C114" i="17"/>
  <c r="G114" i="17"/>
  <c r="I114" i="17"/>
  <c r="C115" i="17"/>
  <c r="G115" i="17"/>
  <c r="I115" i="17"/>
  <c r="D116" i="17"/>
  <c r="E116" i="17"/>
  <c r="F116" i="17"/>
  <c r="G116" i="17"/>
  <c r="C117" i="17"/>
  <c r="G117" i="17"/>
  <c r="I117" i="17"/>
  <c r="C118" i="17"/>
  <c r="G118" i="17"/>
  <c r="I118" i="17"/>
  <c r="C119" i="17"/>
  <c r="G119" i="17"/>
  <c r="I119" i="17"/>
  <c r="C120" i="17"/>
  <c r="G120" i="17"/>
  <c r="I120" i="17"/>
  <c r="I121" i="17"/>
  <c r="D125" i="17"/>
  <c r="D126" i="17"/>
  <c r="F126" i="17"/>
  <c r="C128" i="17"/>
  <c r="F128" i="17"/>
  <c r="D129" i="17"/>
  <c r="E28" i="18" s="1"/>
  <c r="E129" i="17"/>
  <c r="E128" i="17" s="1"/>
  <c r="E135" i="17" s="1"/>
  <c r="E141" i="17" s="1"/>
  <c r="C130" i="17"/>
  <c r="D25" i="18" s="1"/>
  <c r="G25" i="18" s="1"/>
  <c r="F130" i="17"/>
  <c r="F129" i="17" s="1"/>
  <c r="C131" i="17"/>
  <c r="C126" i="17" s="1"/>
  <c r="F131" i="17"/>
  <c r="C132" i="17"/>
  <c r="C135" i="17" s="1"/>
  <c r="C141" i="17" s="1"/>
  <c r="C125" i="17" s="1"/>
  <c r="E132" i="17"/>
  <c r="F132" i="17"/>
  <c r="F135" i="17" s="1"/>
  <c r="C133" i="17"/>
  <c r="F133" i="17"/>
  <c r="C134" i="17"/>
  <c r="D134" i="17"/>
  <c r="F134" i="17" s="1"/>
  <c r="D135" i="17"/>
  <c r="F136" i="17"/>
  <c r="F138" i="17" s="1"/>
  <c r="G136" i="17"/>
  <c r="C137" i="17"/>
  <c r="F137" i="17"/>
  <c r="C138" i="17"/>
  <c r="D138" i="17"/>
  <c r="E138" i="17"/>
  <c r="D141" i="17"/>
  <c r="I142" i="17"/>
  <c r="C143" i="17"/>
  <c r="D143" i="17"/>
  <c r="E143" i="17"/>
  <c r="F143" i="17"/>
  <c r="G143" i="17" s="1"/>
  <c r="G144" i="17"/>
  <c r="I144" i="17"/>
  <c r="G145" i="17"/>
  <c r="I145" i="17"/>
  <c r="G146" i="17"/>
  <c r="I146" i="17"/>
  <c r="C147" i="17"/>
  <c r="D147" i="17"/>
  <c r="E147" i="17"/>
  <c r="F147" i="17"/>
  <c r="G147" i="17" s="1"/>
  <c r="G148" i="17"/>
  <c r="I148" i="17"/>
  <c r="G149" i="17"/>
  <c r="I149" i="17"/>
  <c r="G150" i="17"/>
  <c r="I150" i="17"/>
  <c r="I151" i="17"/>
  <c r="C152" i="17"/>
  <c r="C153" i="17"/>
  <c r="E153" i="17"/>
  <c r="G153" i="17" s="1"/>
  <c r="C154" i="17"/>
  <c r="E154" i="17"/>
  <c r="G154" i="17"/>
  <c r="H154" i="17"/>
  <c r="C155" i="17"/>
  <c r="E155" i="17"/>
  <c r="H155" i="17" s="1"/>
  <c r="F155" i="17"/>
  <c r="G155" i="17"/>
  <c r="C156" i="17"/>
  <c r="E156" i="17"/>
  <c r="H156" i="17" s="1"/>
  <c r="F156" i="17"/>
  <c r="G156" i="17"/>
  <c r="C157" i="17"/>
  <c r="E157" i="17"/>
  <c r="G157" i="17" s="1"/>
  <c r="C158" i="17"/>
  <c r="E158" i="17"/>
  <c r="F158" i="17"/>
  <c r="G158" i="17" s="1"/>
  <c r="H158" i="17"/>
  <c r="C160" i="17"/>
  <c r="C159" i="17" s="1"/>
  <c r="F160" i="17"/>
  <c r="C161" i="17"/>
  <c r="F161" i="17"/>
  <c r="C162" i="17"/>
  <c r="C163" i="17"/>
  <c r="F163" i="17"/>
  <c r="C164" i="17"/>
  <c r="F164" i="17"/>
  <c r="C165" i="17"/>
  <c r="F165" i="17"/>
  <c r="C167" i="17"/>
  <c r="C168" i="17"/>
  <c r="F168" i="17"/>
  <c r="C169" i="17"/>
  <c r="F169" i="17"/>
  <c r="C170" i="17"/>
  <c r="C171" i="17"/>
  <c r="C172" i="17"/>
  <c r="C174" i="17"/>
  <c r="F174" i="17"/>
  <c r="C175" i="17"/>
  <c r="F175" i="17"/>
  <c r="C176" i="17"/>
  <c r="C177" i="17"/>
  <c r="F177" i="17"/>
  <c r="C178" i="17"/>
  <c r="F178" i="17"/>
  <c r="C179" i="17"/>
  <c r="F179" i="17"/>
  <c r="G180" i="17"/>
  <c r="F33" i="16"/>
  <c r="C34" i="16"/>
  <c r="E34" i="16"/>
  <c r="C35" i="16"/>
  <c r="E35" i="16"/>
  <c r="H35" i="16" s="1"/>
  <c r="F35" i="16"/>
  <c r="G35" i="16"/>
  <c r="C36" i="16"/>
  <c r="D36" i="16"/>
  <c r="D36" i="17" s="1"/>
  <c r="E36" i="16"/>
  <c r="G36" i="16" s="1"/>
  <c r="C37" i="16"/>
  <c r="F37" i="16"/>
  <c r="C38" i="16"/>
  <c r="E38" i="16"/>
  <c r="G38" i="16" s="1"/>
  <c r="H38" i="16"/>
  <c r="C39" i="16"/>
  <c r="E39" i="16"/>
  <c r="G40" i="16"/>
  <c r="H40" i="16"/>
  <c r="C41" i="16"/>
  <c r="E41" i="16"/>
  <c r="G41" i="16" s="1"/>
  <c r="C42" i="16"/>
  <c r="E42" i="16"/>
  <c r="G42" i="16" s="1"/>
  <c r="E43" i="16"/>
  <c r="G43" i="16" s="1"/>
  <c r="C44" i="16"/>
  <c r="E44" i="16"/>
  <c r="G44" i="16" s="1"/>
  <c r="E45" i="16"/>
  <c r="F45" i="16"/>
  <c r="F40" i="16" s="1"/>
  <c r="G45" i="16"/>
  <c r="C46" i="16"/>
  <c r="G46" i="16"/>
  <c r="G47" i="16"/>
  <c r="C50" i="16"/>
  <c r="E50" i="16"/>
  <c r="C51" i="16"/>
  <c r="E51" i="16"/>
  <c r="F51" i="16"/>
  <c r="G51" i="16" s="1"/>
  <c r="C53" i="16"/>
  <c r="E53" i="16"/>
  <c r="G53" i="16"/>
  <c r="H53" i="16"/>
  <c r="C54" i="16"/>
  <c r="E54" i="16"/>
  <c r="H54" i="16" s="1"/>
  <c r="F54" i="16"/>
  <c r="G54" i="16"/>
  <c r="C55" i="16"/>
  <c r="E55" i="16"/>
  <c r="G55" i="16" s="1"/>
  <c r="C56" i="16"/>
  <c r="E56" i="16"/>
  <c r="G56" i="16" s="1"/>
  <c r="H56" i="16"/>
  <c r="C57" i="16"/>
  <c r="E57" i="16"/>
  <c r="G57" i="16"/>
  <c r="C58" i="16"/>
  <c r="E58" i="16"/>
  <c r="G58" i="16"/>
  <c r="F59" i="16"/>
  <c r="F52" i="16" s="1"/>
  <c r="C60" i="16"/>
  <c r="C59" i="16" s="1"/>
  <c r="E60" i="16"/>
  <c r="G60" i="16"/>
  <c r="H60" i="16"/>
  <c r="C61" i="16"/>
  <c r="E61" i="16"/>
  <c r="G61" i="16" s="1"/>
  <c r="C62" i="16"/>
  <c r="E62" i="16"/>
  <c r="G62" i="16"/>
  <c r="H62" i="16"/>
  <c r="C63" i="16"/>
  <c r="E63" i="16"/>
  <c r="G63" i="16" s="1"/>
  <c r="C64" i="16"/>
  <c r="E64" i="16"/>
  <c r="G64" i="16" s="1"/>
  <c r="E65" i="16"/>
  <c r="G65" i="16"/>
  <c r="D66" i="16"/>
  <c r="D66" i="17" s="1"/>
  <c r="E66" i="16"/>
  <c r="G66" i="16"/>
  <c r="D67" i="16"/>
  <c r="D67" i="17" s="1"/>
  <c r="E67" i="16"/>
  <c r="G67" i="16"/>
  <c r="F68" i="16"/>
  <c r="H68" i="16"/>
  <c r="C69" i="16"/>
  <c r="C68" i="16" s="1"/>
  <c r="E69" i="16"/>
  <c r="G69" i="16"/>
  <c r="H69" i="16"/>
  <c r="C70" i="16"/>
  <c r="E70" i="16"/>
  <c r="G70" i="16" s="1"/>
  <c r="C71" i="16"/>
  <c r="E71" i="16"/>
  <c r="G71" i="16" s="1"/>
  <c r="C72" i="16"/>
  <c r="E72" i="16"/>
  <c r="G72" i="16" s="1"/>
  <c r="C73" i="16"/>
  <c r="D73" i="16"/>
  <c r="E73" i="16"/>
  <c r="G73" i="16"/>
  <c r="C75" i="16"/>
  <c r="D75" i="16"/>
  <c r="E75" i="16"/>
  <c r="G75" i="16" s="1"/>
  <c r="F76" i="16"/>
  <c r="D77" i="16"/>
  <c r="E77" i="16"/>
  <c r="G77" i="16"/>
  <c r="D78" i="16"/>
  <c r="E78" i="16"/>
  <c r="G78" i="16"/>
  <c r="F79" i="16"/>
  <c r="F74" i="16" s="1"/>
  <c r="D80" i="16"/>
  <c r="E80" i="16"/>
  <c r="G80" i="16" s="1"/>
  <c r="D81" i="16"/>
  <c r="E81" i="16"/>
  <c r="G81" i="16" s="1"/>
  <c r="F82" i="16"/>
  <c r="D83" i="16"/>
  <c r="E83" i="16"/>
  <c r="G83" i="16"/>
  <c r="D84" i="16"/>
  <c r="E84" i="16"/>
  <c r="G84" i="16"/>
  <c r="D85" i="16"/>
  <c r="E85" i="16"/>
  <c r="G85" i="16"/>
  <c r="D86" i="16"/>
  <c r="E86" i="16"/>
  <c r="G86" i="16"/>
  <c r="D87" i="16"/>
  <c r="G87" i="16"/>
  <c r="D88" i="16"/>
  <c r="G88" i="16"/>
  <c r="C89" i="16"/>
  <c r="G89" i="16"/>
  <c r="Q92" i="16"/>
  <c r="R92" i="16"/>
  <c r="F94" i="16"/>
  <c r="C95" i="16"/>
  <c r="E95" i="16"/>
  <c r="G95" i="16" s="1"/>
  <c r="H95" i="16"/>
  <c r="G96" i="16"/>
  <c r="G97" i="16"/>
  <c r="G98" i="16"/>
  <c r="F99" i="16"/>
  <c r="C100" i="16"/>
  <c r="E100" i="16"/>
  <c r="G100" i="16" s="1"/>
  <c r="E101" i="16"/>
  <c r="G101" i="16"/>
  <c r="F102" i="16"/>
  <c r="C103" i="16"/>
  <c r="E103" i="16"/>
  <c r="G103" i="16"/>
  <c r="H103" i="16"/>
  <c r="C104" i="16"/>
  <c r="E104" i="16"/>
  <c r="G104" i="16" s="1"/>
  <c r="G105" i="16"/>
  <c r="G106" i="16"/>
  <c r="C109" i="16"/>
  <c r="D109" i="16"/>
  <c r="E109" i="16"/>
  <c r="F109" i="16"/>
  <c r="G110" i="16"/>
  <c r="G111" i="16"/>
  <c r="G112" i="16"/>
  <c r="G113" i="16"/>
  <c r="G114" i="16"/>
  <c r="G115" i="16"/>
  <c r="C116" i="16"/>
  <c r="D116" i="16"/>
  <c r="E116" i="16"/>
  <c r="F116" i="16"/>
  <c r="I116" i="17" s="1"/>
  <c r="G116" i="16"/>
  <c r="G117" i="16"/>
  <c r="G118" i="16"/>
  <c r="G119" i="16"/>
  <c r="G120" i="16"/>
  <c r="D125" i="16"/>
  <c r="C126" i="16"/>
  <c r="D126" i="16"/>
  <c r="E126" i="16"/>
  <c r="C128" i="16"/>
  <c r="C135" i="16" s="1"/>
  <c r="C141" i="16" s="1"/>
  <c r="C125" i="16" s="1"/>
  <c r="F128" i="16"/>
  <c r="F135" i="16" s="1"/>
  <c r="D129" i="16"/>
  <c r="G129" i="16" s="1"/>
  <c r="E129" i="16"/>
  <c r="E128" i="16" s="1"/>
  <c r="G128" i="16" s="1"/>
  <c r="C130" i="16"/>
  <c r="C129" i="16" s="1"/>
  <c r="F130" i="16"/>
  <c r="F129" i="16" s="1"/>
  <c r="H129" i="16" s="1"/>
  <c r="G130" i="16"/>
  <c r="H130" i="16"/>
  <c r="C131" i="16"/>
  <c r="F131" i="16"/>
  <c r="F126" i="16" s="1"/>
  <c r="G131" i="16"/>
  <c r="H131" i="16"/>
  <c r="E132" i="16"/>
  <c r="F132" i="16"/>
  <c r="G132" i="16"/>
  <c r="C133" i="16"/>
  <c r="C132" i="16" s="1"/>
  <c r="F133" i="16"/>
  <c r="G133" i="16"/>
  <c r="C134" i="16"/>
  <c r="D134" i="16"/>
  <c r="F134" i="16"/>
  <c r="G134" i="16"/>
  <c r="D135" i="16"/>
  <c r="C136" i="16"/>
  <c r="F136" i="16"/>
  <c r="G136" i="16"/>
  <c r="C137" i="16"/>
  <c r="F137" i="16"/>
  <c r="F138" i="16" s="1"/>
  <c r="G137" i="16"/>
  <c r="C138" i="16"/>
  <c r="D138" i="16"/>
  <c r="E138" i="16"/>
  <c r="G138" i="16"/>
  <c r="G139" i="16"/>
  <c r="G140" i="16"/>
  <c r="D141" i="16"/>
  <c r="F141" i="16"/>
  <c r="F125" i="16" s="1"/>
  <c r="C143" i="16"/>
  <c r="D143" i="16"/>
  <c r="E143" i="16"/>
  <c r="F143" i="16"/>
  <c r="G144" i="16"/>
  <c r="G145" i="16"/>
  <c r="G146" i="16"/>
  <c r="C147" i="16"/>
  <c r="D147" i="16"/>
  <c r="E147" i="16"/>
  <c r="F147" i="16"/>
  <c r="G148" i="16"/>
  <c r="G149" i="16"/>
  <c r="G150" i="16"/>
  <c r="C153" i="16"/>
  <c r="E153" i="16"/>
  <c r="G153" i="16"/>
  <c r="H153" i="16"/>
  <c r="C154" i="16"/>
  <c r="E154" i="16"/>
  <c r="G154" i="16" s="1"/>
  <c r="H154" i="16"/>
  <c r="C155" i="16"/>
  <c r="E155" i="16"/>
  <c r="G155" i="16"/>
  <c r="H155" i="16"/>
  <c r="C156" i="16"/>
  <c r="E156" i="16"/>
  <c r="H156" i="16" s="1"/>
  <c r="F156" i="16"/>
  <c r="G156" i="16"/>
  <c r="C157" i="16"/>
  <c r="E157" i="16"/>
  <c r="G157" i="16" s="1"/>
  <c r="H157" i="16"/>
  <c r="C158" i="16"/>
  <c r="E158" i="16"/>
  <c r="F158" i="16"/>
  <c r="G158" i="16" s="1"/>
  <c r="C160" i="16"/>
  <c r="C159" i="16" s="1"/>
  <c r="F160" i="16"/>
  <c r="C161" i="16"/>
  <c r="F161" i="16"/>
  <c r="C162" i="16"/>
  <c r="F162" i="16"/>
  <c r="C163" i="16"/>
  <c r="F163" i="16"/>
  <c r="C164" i="16"/>
  <c r="F164" i="16"/>
  <c r="C165" i="16"/>
  <c r="F165" i="16"/>
  <c r="F166" i="16"/>
  <c r="F50" i="16" s="1"/>
  <c r="C167" i="16"/>
  <c r="C166" i="16" s="1"/>
  <c r="C168" i="16"/>
  <c r="F168" i="16"/>
  <c r="C169" i="16"/>
  <c r="F169" i="16"/>
  <c r="C170" i="16"/>
  <c r="C171" i="16"/>
  <c r="C172" i="16"/>
  <c r="C174" i="16"/>
  <c r="F174" i="16"/>
  <c r="F175" i="16"/>
  <c r="C176" i="16"/>
  <c r="F176" i="16"/>
  <c r="C177" i="16"/>
  <c r="F177" i="16"/>
  <c r="C178" i="16"/>
  <c r="F178" i="16"/>
  <c r="C179" i="16"/>
  <c r="F179" i="16"/>
  <c r="G180" i="16"/>
  <c r="B7" i="15"/>
  <c r="B7" i="16" s="1"/>
  <c r="B7" i="17" s="1"/>
  <c r="C34" i="15"/>
  <c r="C33" i="15" s="1"/>
  <c r="D34" i="15"/>
  <c r="D34" i="16" s="1"/>
  <c r="E34" i="15"/>
  <c r="I34" i="15" s="1"/>
  <c r="J34" i="15"/>
  <c r="C35" i="15"/>
  <c r="E35" i="15"/>
  <c r="F35" i="15"/>
  <c r="F33" i="15" s="1"/>
  <c r="H35" i="15"/>
  <c r="I35" i="15"/>
  <c r="E36" i="15"/>
  <c r="I36" i="15"/>
  <c r="J36" i="15"/>
  <c r="F37" i="15"/>
  <c r="C38" i="15"/>
  <c r="C37" i="15" s="1"/>
  <c r="D38" i="15"/>
  <c r="D38" i="16" s="1"/>
  <c r="E38" i="15"/>
  <c r="G38" i="15" s="1"/>
  <c r="H38" i="15"/>
  <c r="J38" i="15"/>
  <c r="C39" i="15"/>
  <c r="D39" i="15"/>
  <c r="D39" i="16" s="1"/>
  <c r="D39" i="17" s="1"/>
  <c r="E39" i="15"/>
  <c r="G39" i="15"/>
  <c r="H39" i="15"/>
  <c r="I39" i="15"/>
  <c r="D41" i="15"/>
  <c r="D41" i="16" s="1"/>
  <c r="E41" i="15"/>
  <c r="G41" i="15"/>
  <c r="I41" i="15"/>
  <c r="J41" i="15"/>
  <c r="D42" i="15"/>
  <c r="D42" i="16" s="1"/>
  <c r="D42" i="17" s="1"/>
  <c r="E42" i="15"/>
  <c r="G42" i="15"/>
  <c r="I42" i="15"/>
  <c r="J42" i="15"/>
  <c r="D43" i="15"/>
  <c r="D43" i="16" s="1"/>
  <c r="D43" i="17" s="1"/>
  <c r="E43" i="15"/>
  <c r="G43" i="15"/>
  <c r="I43" i="15"/>
  <c r="J43" i="15"/>
  <c r="C44" i="15"/>
  <c r="D44" i="15"/>
  <c r="D44" i="16" s="1"/>
  <c r="E44" i="15"/>
  <c r="G44" i="15"/>
  <c r="F45" i="15"/>
  <c r="F40" i="15" s="1"/>
  <c r="C46" i="15"/>
  <c r="D46" i="15"/>
  <c r="D46" i="16" s="1"/>
  <c r="D46" i="17" s="1"/>
  <c r="E46" i="15"/>
  <c r="G46" i="15"/>
  <c r="I46" i="15"/>
  <c r="J46" i="15"/>
  <c r="G47" i="15"/>
  <c r="I47" i="15"/>
  <c r="J47" i="15"/>
  <c r="C50" i="15"/>
  <c r="E50" i="15"/>
  <c r="I50" i="15"/>
  <c r="C51" i="15"/>
  <c r="E51" i="15"/>
  <c r="I51" i="15"/>
  <c r="C53" i="15"/>
  <c r="D53" i="15"/>
  <c r="D53" i="16" s="1"/>
  <c r="E53" i="15"/>
  <c r="G53" i="15" s="1"/>
  <c r="H53" i="15"/>
  <c r="J53" i="15"/>
  <c r="C54" i="15"/>
  <c r="E54" i="15"/>
  <c r="F54" i="15"/>
  <c r="F52" i="15" s="1"/>
  <c r="H54" i="15"/>
  <c r="I54" i="15"/>
  <c r="C55" i="15"/>
  <c r="D55" i="15"/>
  <c r="D55" i="16" s="1"/>
  <c r="D55" i="17" s="1"/>
  <c r="E55" i="15"/>
  <c r="G55" i="15"/>
  <c r="I55" i="15"/>
  <c r="J55" i="15"/>
  <c r="C56" i="15"/>
  <c r="D56" i="15"/>
  <c r="D56" i="16" s="1"/>
  <c r="D56" i="17" s="1"/>
  <c r="E56" i="15"/>
  <c r="G56" i="15"/>
  <c r="H56" i="15"/>
  <c r="I56" i="15"/>
  <c r="D57" i="15"/>
  <c r="D57" i="16" s="1"/>
  <c r="D57" i="17" s="1"/>
  <c r="E57" i="15"/>
  <c r="G57" i="15" s="1"/>
  <c r="I57" i="15"/>
  <c r="J57" i="15"/>
  <c r="D58" i="15"/>
  <c r="D58" i="16" s="1"/>
  <c r="D58" i="17" s="1"/>
  <c r="E58" i="15"/>
  <c r="G58" i="15" s="1"/>
  <c r="I58" i="15"/>
  <c r="J58" i="15"/>
  <c r="F59" i="15"/>
  <c r="C60" i="15"/>
  <c r="C59" i="15" s="1"/>
  <c r="D60" i="15"/>
  <c r="D59" i="15" s="1"/>
  <c r="E60" i="15"/>
  <c r="G60" i="15" s="1"/>
  <c r="H60" i="15"/>
  <c r="J60" i="15"/>
  <c r="C61" i="15"/>
  <c r="D61" i="15"/>
  <c r="D61" i="16" s="1"/>
  <c r="D61" i="17" s="1"/>
  <c r="E61" i="15"/>
  <c r="G61" i="15"/>
  <c r="H61" i="15"/>
  <c r="I61" i="15"/>
  <c r="C62" i="15"/>
  <c r="D62" i="15"/>
  <c r="D62" i="16" s="1"/>
  <c r="D62" i="17" s="1"/>
  <c r="E62" i="15"/>
  <c r="G62" i="15" s="1"/>
  <c r="H62" i="15"/>
  <c r="J62" i="15"/>
  <c r="C63" i="15"/>
  <c r="D63" i="15"/>
  <c r="D63" i="16" s="1"/>
  <c r="D63" i="17" s="1"/>
  <c r="E63" i="15"/>
  <c r="G63" i="15"/>
  <c r="I63" i="15"/>
  <c r="J63" i="15"/>
  <c r="C64" i="15"/>
  <c r="D64" i="15"/>
  <c r="D64" i="16" s="1"/>
  <c r="D64" i="17" s="1"/>
  <c r="E64" i="15"/>
  <c r="G64" i="15"/>
  <c r="H64" i="15"/>
  <c r="I64" i="15"/>
  <c r="D65" i="15"/>
  <c r="D65" i="16" s="1"/>
  <c r="D65" i="17" s="1"/>
  <c r="E65" i="15"/>
  <c r="G65" i="15" s="1"/>
  <c r="I65" i="15"/>
  <c r="J65" i="15"/>
  <c r="E66" i="15"/>
  <c r="G66" i="15"/>
  <c r="I66" i="15"/>
  <c r="J66" i="15"/>
  <c r="E67" i="15"/>
  <c r="G67" i="15" s="1"/>
  <c r="I67" i="15"/>
  <c r="J67" i="15"/>
  <c r="F68" i="15"/>
  <c r="C69" i="15"/>
  <c r="C68" i="15" s="1"/>
  <c r="D69" i="15"/>
  <c r="D68" i="15" s="1"/>
  <c r="E69" i="15"/>
  <c r="G69" i="15" s="1"/>
  <c r="G68" i="15" s="1"/>
  <c r="H69" i="15"/>
  <c r="J69" i="15"/>
  <c r="C70" i="15"/>
  <c r="C70" i="17" s="1"/>
  <c r="D70" i="15"/>
  <c r="E70" i="15"/>
  <c r="G70" i="15"/>
  <c r="I70" i="15"/>
  <c r="J70" i="15"/>
  <c r="C71" i="15"/>
  <c r="C71" i="17" s="1"/>
  <c r="D71" i="15"/>
  <c r="E71" i="15"/>
  <c r="G71" i="15"/>
  <c r="I71" i="15"/>
  <c r="J71" i="15"/>
  <c r="C72" i="15"/>
  <c r="D72" i="15"/>
  <c r="D72" i="16" s="1"/>
  <c r="D72" i="17" s="1"/>
  <c r="E72" i="15"/>
  <c r="G72" i="15"/>
  <c r="H72" i="15"/>
  <c r="I72" i="15"/>
  <c r="G73" i="15"/>
  <c r="I73" i="15"/>
  <c r="J73" i="15"/>
  <c r="E75" i="15"/>
  <c r="E74" i="15" s="1"/>
  <c r="I75" i="15"/>
  <c r="J75" i="15"/>
  <c r="C76" i="15"/>
  <c r="C74" i="15" s="1"/>
  <c r="D76" i="15"/>
  <c r="E76" i="15"/>
  <c r="F76" i="15"/>
  <c r="G76" i="15"/>
  <c r="G77" i="15"/>
  <c r="I77" i="15"/>
  <c r="J77" i="15"/>
  <c r="G78" i="15"/>
  <c r="I78" i="15"/>
  <c r="J78" i="15"/>
  <c r="C79" i="15"/>
  <c r="D79" i="15"/>
  <c r="E79" i="15"/>
  <c r="F79" i="15"/>
  <c r="G79" i="15" s="1"/>
  <c r="G80" i="15"/>
  <c r="I80" i="15"/>
  <c r="J80" i="15"/>
  <c r="G81" i="15"/>
  <c r="I81" i="15"/>
  <c r="J81" i="15"/>
  <c r="C82" i="15"/>
  <c r="D82" i="15"/>
  <c r="E82" i="15"/>
  <c r="F82" i="15"/>
  <c r="G82" i="15"/>
  <c r="G83" i="15"/>
  <c r="I83" i="15"/>
  <c r="J83" i="15"/>
  <c r="G84" i="15"/>
  <c r="I84" i="15"/>
  <c r="J84" i="15"/>
  <c r="G85" i="15"/>
  <c r="I85" i="15"/>
  <c r="J85" i="15"/>
  <c r="G86" i="15"/>
  <c r="I86" i="15"/>
  <c r="J86" i="15"/>
  <c r="G87" i="15"/>
  <c r="I87" i="15"/>
  <c r="J87" i="15"/>
  <c r="G88" i="15"/>
  <c r="I88" i="15"/>
  <c r="J88" i="15"/>
  <c r="C89" i="15"/>
  <c r="G89" i="15"/>
  <c r="I89" i="15"/>
  <c r="J89" i="15"/>
  <c r="I93" i="15"/>
  <c r="J93" i="15"/>
  <c r="F94" i="15"/>
  <c r="C95" i="15"/>
  <c r="D95" i="15"/>
  <c r="D95" i="16" s="1"/>
  <c r="E95" i="15"/>
  <c r="G95" i="15" s="1"/>
  <c r="H95" i="15"/>
  <c r="J95" i="15"/>
  <c r="D96" i="15"/>
  <c r="D96" i="17" s="1"/>
  <c r="E96" i="15"/>
  <c r="G96" i="15"/>
  <c r="I96" i="15"/>
  <c r="J96" i="15"/>
  <c r="D97" i="15"/>
  <c r="E97" i="15"/>
  <c r="G97" i="15"/>
  <c r="I97" i="15"/>
  <c r="J97" i="15"/>
  <c r="D98" i="15"/>
  <c r="D98" i="17" s="1"/>
  <c r="E98" i="15"/>
  <c r="G98" i="15"/>
  <c r="I98" i="15"/>
  <c r="J98" i="15"/>
  <c r="F99" i="15"/>
  <c r="C100" i="15"/>
  <c r="D100" i="15"/>
  <c r="D100" i="16" s="1"/>
  <c r="E100" i="15"/>
  <c r="G100" i="15"/>
  <c r="H100" i="15"/>
  <c r="I100" i="15"/>
  <c r="D101" i="15"/>
  <c r="D101" i="16" s="1"/>
  <c r="D101" i="17" s="1"/>
  <c r="E101" i="15"/>
  <c r="G101" i="15" s="1"/>
  <c r="J101" i="15"/>
  <c r="C103" i="15"/>
  <c r="C102" i="15" s="1"/>
  <c r="E103" i="15"/>
  <c r="E102" i="15" s="1"/>
  <c r="I103" i="15"/>
  <c r="C104" i="15"/>
  <c r="D104" i="15"/>
  <c r="D104" i="16" s="1"/>
  <c r="D104" i="17" s="1"/>
  <c r="E104" i="15"/>
  <c r="H104" i="15"/>
  <c r="J104" i="15"/>
  <c r="D105" i="15"/>
  <c r="E105" i="15"/>
  <c r="G105" i="15"/>
  <c r="I105" i="15"/>
  <c r="J105" i="15"/>
  <c r="D106" i="15"/>
  <c r="E106" i="15"/>
  <c r="G106" i="15"/>
  <c r="I106" i="15"/>
  <c r="J106" i="15"/>
  <c r="I108" i="15"/>
  <c r="J108" i="15"/>
  <c r="D109" i="15"/>
  <c r="F109" i="15"/>
  <c r="C110" i="15"/>
  <c r="G110" i="15"/>
  <c r="I110" i="15"/>
  <c r="J110" i="15"/>
  <c r="C111" i="15"/>
  <c r="E111" i="15"/>
  <c r="E109" i="15" s="1"/>
  <c r="I109" i="15" s="1"/>
  <c r="G111" i="15"/>
  <c r="I111" i="15"/>
  <c r="J111" i="15"/>
  <c r="C112" i="15"/>
  <c r="G112" i="15"/>
  <c r="I112" i="15"/>
  <c r="J112" i="15"/>
  <c r="C113" i="15"/>
  <c r="G113" i="15"/>
  <c r="I113" i="15"/>
  <c r="J113" i="15"/>
  <c r="C114" i="15"/>
  <c r="G114" i="15"/>
  <c r="I114" i="15"/>
  <c r="J114" i="15"/>
  <c r="C115" i="15"/>
  <c r="G115" i="15"/>
  <c r="I115" i="15"/>
  <c r="J115" i="15"/>
  <c r="C116" i="15"/>
  <c r="D116" i="15"/>
  <c r="E116" i="15"/>
  <c r="F116" i="15"/>
  <c r="G116" i="15" s="1"/>
  <c r="I116" i="15"/>
  <c r="G117" i="15"/>
  <c r="J117" i="15"/>
  <c r="G118" i="15"/>
  <c r="J118" i="15"/>
  <c r="G119" i="15"/>
  <c r="J119" i="15"/>
  <c r="G120" i="15"/>
  <c r="J120" i="15"/>
  <c r="J121" i="15"/>
  <c r="D126" i="15"/>
  <c r="I127" i="15"/>
  <c r="J127" i="15"/>
  <c r="E128" i="15"/>
  <c r="F128" i="15"/>
  <c r="G128" i="15"/>
  <c r="J128" i="15"/>
  <c r="D129" i="15"/>
  <c r="G129" i="15" s="1"/>
  <c r="E129" i="15"/>
  <c r="F129" i="15"/>
  <c r="C130" i="15"/>
  <c r="C126" i="15" s="1"/>
  <c r="I126" i="15" s="1"/>
  <c r="F130" i="15"/>
  <c r="G130" i="15"/>
  <c r="J130" i="15"/>
  <c r="C131" i="15"/>
  <c r="F131" i="15"/>
  <c r="F126" i="15" s="1"/>
  <c r="J126" i="15" s="1"/>
  <c r="G131" i="15"/>
  <c r="I131" i="15"/>
  <c r="E132" i="15"/>
  <c r="F132" i="15"/>
  <c r="J132" i="15" s="1"/>
  <c r="G132" i="15"/>
  <c r="C133" i="15"/>
  <c r="C132" i="15" s="1"/>
  <c r="I132" i="15" s="1"/>
  <c r="D133" i="15"/>
  <c r="F133" i="15"/>
  <c r="J133" i="15" s="1"/>
  <c r="G133" i="15"/>
  <c r="I133" i="15"/>
  <c r="C134" i="15"/>
  <c r="D134" i="15"/>
  <c r="F134" i="15"/>
  <c r="G134" i="15"/>
  <c r="I134" i="15"/>
  <c r="D135" i="15"/>
  <c r="E135" i="15"/>
  <c r="G135" i="15"/>
  <c r="C136" i="15"/>
  <c r="E136" i="15"/>
  <c r="F136" i="15"/>
  <c r="G136" i="15"/>
  <c r="I136" i="15"/>
  <c r="J136" i="15"/>
  <c r="C137" i="15"/>
  <c r="D137" i="15"/>
  <c r="G137" i="15" s="1"/>
  <c r="E137" i="15"/>
  <c r="F137" i="15"/>
  <c r="F138" i="15" s="1"/>
  <c r="I137" i="15"/>
  <c r="C138" i="15"/>
  <c r="I138" i="15" s="1"/>
  <c r="E138" i="15"/>
  <c r="E141" i="15" s="1"/>
  <c r="G139" i="15"/>
  <c r="I139" i="15"/>
  <c r="J139" i="15"/>
  <c r="G140" i="15"/>
  <c r="I140" i="15"/>
  <c r="J140" i="15"/>
  <c r="I142" i="15"/>
  <c r="J142" i="15"/>
  <c r="C143" i="15"/>
  <c r="I143" i="15" s="1"/>
  <c r="D143" i="15"/>
  <c r="E143" i="15"/>
  <c r="F143" i="15"/>
  <c r="G143" i="15"/>
  <c r="G144" i="15"/>
  <c r="I144" i="15"/>
  <c r="J144" i="15"/>
  <c r="G145" i="15"/>
  <c r="I145" i="15"/>
  <c r="J145" i="15"/>
  <c r="G146" i="15"/>
  <c r="I146" i="15"/>
  <c r="J146" i="15"/>
  <c r="C147" i="15"/>
  <c r="I147" i="15" s="1"/>
  <c r="D147" i="15"/>
  <c r="E147" i="15"/>
  <c r="F147" i="15"/>
  <c r="G147" i="15"/>
  <c r="G148" i="15"/>
  <c r="I148" i="15"/>
  <c r="J148" i="15"/>
  <c r="G149" i="15"/>
  <c r="I149" i="15"/>
  <c r="J149" i="15"/>
  <c r="G150" i="15"/>
  <c r="I150" i="15"/>
  <c r="J150" i="15"/>
  <c r="I151" i="15"/>
  <c r="J151" i="15"/>
  <c r="F152" i="15"/>
  <c r="B16" i="15" s="1"/>
  <c r="C153" i="15"/>
  <c r="E153" i="15"/>
  <c r="G153" i="15"/>
  <c r="H153" i="15"/>
  <c r="I153" i="15"/>
  <c r="C154" i="15"/>
  <c r="E154" i="15"/>
  <c r="G154" i="15"/>
  <c r="H154" i="15"/>
  <c r="I154" i="15"/>
  <c r="C155" i="15"/>
  <c r="E155" i="15"/>
  <c r="G155" i="15"/>
  <c r="H155" i="15"/>
  <c r="I155" i="15"/>
  <c r="C156" i="15"/>
  <c r="E156" i="15"/>
  <c r="G156" i="15"/>
  <c r="H156" i="15"/>
  <c r="I156" i="15"/>
  <c r="C157" i="15"/>
  <c r="C152" i="15" s="1"/>
  <c r="I152" i="15" s="1"/>
  <c r="E157" i="15"/>
  <c r="E152" i="15" s="1"/>
  <c r="G157" i="15"/>
  <c r="H157" i="15"/>
  <c r="I157" i="15"/>
  <c r="C158" i="15"/>
  <c r="E158" i="15"/>
  <c r="G158" i="15"/>
  <c r="H158" i="15"/>
  <c r="I158" i="15"/>
  <c r="C160" i="15"/>
  <c r="C159" i="15" s="1"/>
  <c r="I159" i="15" s="1"/>
  <c r="F160" i="15"/>
  <c r="F159" i="15" s="1"/>
  <c r="I160" i="15"/>
  <c r="C161" i="15"/>
  <c r="F161" i="15"/>
  <c r="I161" i="15"/>
  <c r="C162" i="15"/>
  <c r="F162" i="15"/>
  <c r="I162" i="15"/>
  <c r="C163" i="15"/>
  <c r="F163" i="15"/>
  <c r="I163" i="15"/>
  <c r="C164" i="15"/>
  <c r="F164" i="15"/>
  <c r="I164" i="15"/>
  <c r="C165" i="15"/>
  <c r="F165" i="15"/>
  <c r="I165" i="15"/>
  <c r="F166" i="15"/>
  <c r="F50" i="15" s="1"/>
  <c r="C167" i="15"/>
  <c r="C166" i="15" s="1"/>
  <c r="I167" i="15"/>
  <c r="C168" i="15"/>
  <c r="I168" i="15" s="1"/>
  <c r="C169" i="15"/>
  <c r="I169" i="15"/>
  <c r="C170" i="15"/>
  <c r="I170" i="15" s="1"/>
  <c r="C171" i="15"/>
  <c r="I171" i="15"/>
  <c r="C172" i="15"/>
  <c r="I172" i="15" s="1"/>
  <c r="F173" i="15"/>
  <c r="C174" i="15"/>
  <c r="E174" i="15"/>
  <c r="F174" i="15"/>
  <c r="G174" i="15" s="1"/>
  <c r="H174" i="15"/>
  <c r="I174" i="15"/>
  <c r="C175" i="15"/>
  <c r="E175" i="15"/>
  <c r="F175" i="15"/>
  <c r="G175" i="15" s="1"/>
  <c r="H175" i="15"/>
  <c r="I175" i="15"/>
  <c r="C176" i="15"/>
  <c r="E176" i="15"/>
  <c r="F176" i="15"/>
  <c r="G176" i="15" s="1"/>
  <c r="H176" i="15"/>
  <c r="I176" i="15"/>
  <c r="C177" i="15"/>
  <c r="E177" i="15"/>
  <c r="F177" i="15"/>
  <c r="G177" i="15" s="1"/>
  <c r="H177" i="15"/>
  <c r="I177" i="15"/>
  <c r="C178" i="15"/>
  <c r="E178" i="15"/>
  <c r="F178" i="15"/>
  <c r="G178" i="15" s="1"/>
  <c r="H178" i="15"/>
  <c r="I178" i="15"/>
  <c r="C179" i="15"/>
  <c r="E179" i="15"/>
  <c r="F179" i="15"/>
  <c r="G179" i="15" s="1"/>
  <c r="H179" i="15"/>
  <c r="I179" i="15"/>
  <c r="C180" i="15"/>
  <c r="G180" i="15"/>
  <c r="I180" i="15"/>
  <c r="J180" i="15"/>
  <c r="C33" i="13"/>
  <c r="C32" i="13" s="1"/>
  <c r="D33" i="13"/>
  <c r="E33" i="13"/>
  <c r="F33" i="13"/>
  <c r="F32" i="13" s="1"/>
  <c r="C37" i="13"/>
  <c r="D37" i="13"/>
  <c r="F37" i="13"/>
  <c r="C40" i="13"/>
  <c r="F40" i="13"/>
  <c r="E43" i="13"/>
  <c r="C43" i="16" s="1"/>
  <c r="C45" i="13"/>
  <c r="D45" i="13"/>
  <c r="D40" i="13" s="1"/>
  <c r="D90" i="13" s="1"/>
  <c r="E45" i="13"/>
  <c r="C45" i="16" s="1"/>
  <c r="E52" i="13"/>
  <c r="E49" i="13" s="1"/>
  <c r="C57" i="13"/>
  <c r="C52" i="13" s="1"/>
  <c r="C49" i="13" s="1"/>
  <c r="D57" i="13"/>
  <c r="C57" i="15" s="1"/>
  <c r="C58" i="13"/>
  <c r="D58" i="13"/>
  <c r="C58" i="15" s="1"/>
  <c r="D59" i="13"/>
  <c r="F59" i="13"/>
  <c r="F52" i="13" s="1"/>
  <c r="F49" i="13" s="1"/>
  <c r="C63" i="13"/>
  <c r="C65" i="13"/>
  <c r="D65" i="13"/>
  <c r="C66" i="13"/>
  <c r="D66" i="13"/>
  <c r="C67" i="13"/>
  <c r="D67" i="13"/>
  <c r="C68" i="13"/>
  <c r="D68" i="13"/>
  <c r="F68" i="13"/>
  <c r="C73" i="13"/>
  <c r="D73" i="13"/>
  <c r="E76" i="13"/>
  <c r="E74" i="13" s="1"/>
  <c r="F76" i="13"/>
  <c r="C76" i="17" s="1"/>
  <c r="E77" i="13"/>
  <c r="C77" i="16" s="1"/>
  <c r="E78" i="13"/>
  <c r="C78" i="16" s="1"/>
  <c r="E79" i="13"/>
  <c r="F79" i="13"/>
  <c r="C79" i="17" s="1"/>
  <c r="E80" i="13"/>
  <c r="C80" i="16" s="1"/>
  <c r="E81" i="13"/>
  <c r="C81" i="16" s="1"/>
  <c r="E82" i="13"/>
  <c r="F82" i="13"/>
  <c r="C82" i="17" s="1"/>
  <c r="E83" i="13"/>
  <c r="C83" i="16" s="1"/>
  <c r="E84" i="13"/>
  <c r="C84" i="16" s="1"/>
  <c r="E85" i="13"/>
  <c r="C85" i="16" s="1"/>
  <c r="E86" i="13"/>
  <c r="C86" i="16" s="1"/>
  <c r="E87" i="13"/>
  <c r="C87" i="16" s="1"/>
  <c r="E88" i="13"/>
  <c r="C88" i="16" s="1"/>
  <c r="C90" i="13"/>
  <c r="F90" i="13"/>
  <c r="F94" i="13"/>
  <c r="C94" i="17" s="1"/>
  <c r="C96" i="13"/>
  <c r="C94" i="13" s="1"/>
  <c r="D96" i="13"/>
  <c r="C96" i="15" s="1"/>
  <c r="E96" i="13"/>
  <c r="E94" i="13" s="1"/>
  <c r="C97" i="13"/>
  <c r="D97" i="13"/>
  <c r="C97" i="15" s="1"/>
  <c r="C97" i="16" s="1"/>
  <c r="E97" i="13"/>
  <c r="C98" i="13"/>
  <c r="D98" i="13"/>
  <c r="C98" i="15" s="1"/>
  <c r="E98" i="13"/>
  <c r="C101" i="13"/>
  <c r="C99" i="13" s="1"/>
  <c r="C107" i="13" s="1"/>
  <c r="D101" i="13"/>
  <c r="C101" i="15" s="1"/>
  <c r="C101" i="16" s="1"/>
  <c r="E101" i="13"/>
  <c r="E99" i="13" s="1"/>
  <c r="E107" i="13" s="1"/>
  <c r="F101" i="13"/>
  <c r="C101" i="17" s="1"/>
  <c r="C102" i="13"/>
  <c r="D102" i="13"/>
  <c r="E102" i="13"/>
  <c r="F102" i="13"/>
  <c r="C105" i="13"/>
  <c r="D105" i="13"/>
  <c r="C105" i="15" s="1"/>
  <c r="C105" i="16" s="1"/>
  <c r="E105" i="13"/>
  <c r="C106" i="13"/>
  <c r="D106" i="13"/>
  <c r="C106" i="15" s="1"/>
  <c r="E106" i="13"/>
  <c r="D109" i="13"/>
  <c r="E109" i="13"/>
  <c r="F109" i="13"/>
  <c r="E116" i="13"/>
  <c r="F116" i="13"/>
  <c r="C116" i="17" s="1"/>
  <c r="D126" i="13"/>
  <c r="F126" i="13"/>
  <c r="C128" i="13"/>
  <c r="C135" i="13" s="1"/>
  <c r="C141" i="13" s="1"/>
  <c r="E128" i="13"/>
  <c r="E135" i="13" s="1"/>
  <c r="E141" i="13" s="1"/>
  <c r="C129" i="13"/>
  <c r="D129" i="13"/>
  <c r="C129" i="15" s="1"/>
  <c r="E129" i="13"/>
  <c r="C132" i="13"/>
  <c r="D132" i="13"/>
  <c r="E132" i="13"/>
  <c r="F135" i="13"/>
  <c r="C138" i="13"/>
  <c r="D138" i="13"/>
  <c r="E138" i="13"/>
  <c r="F138" i="13"/>
  <c r="F141" i="13"/>
  <c r="F125" i="13" s="1"/>
  <c r="E143" i="13"/>
  <c r="F143" i="13"/>
  <c r="E147" i="13"/>
  <c r="F147" i="13"/>
  <c r="C152" i="13"/>
  <c r="D152" i="13"/>
  <c r="E152" i="13"/>
  <c r="F152" i="13"/>
  <c r="D159" i="13"/>
  <c r="E159" i="13"/>
  <c r="F159" i="13"/>
  <c r="C160" i="13"/>
  <c r="C161" i="13"/>
  <c r="C162" i="13"/>
  <c r="C163" i="13"/>
  <c r="D166" i="13"/>
  <c r="E166" i="13"/>
  <c r="F166" i="13"/>
  <c r="F173" i="13" s="1"/>
  <c r="F180" i="13" s="1"/>
  <c r="C171" i="13"/>
  <c r="C164" i="13" s="1"/>
  <c r="C164" i="7" s="1"/>
  <c r="C172" i="13"/>
  <c r="C165" i="13" s="1"/>
  <c r="C165" i="7" s="1"/>
  <c r="D173" i="13"/>
  <c r="C174" i="13"/>
  <c r="C175" i="13"/>
  <c r="C176" i="13"/>
  <c r="C177" i="13"/>
  <c r="C178" i="13"/>
  <c r="E180" i="13"/>
  <c r="C34" i="7"/>
  <c r="C33" i="7" s="1"/>
  <c r="D34" i="7"/>
  <c r="C35" i="7"/>
  <c r="E35" i="7"/>
  <c r="E33" i="7" s="1"/>
  <c r="F35" i="7"/>
  <c r="F33" i="7" s="1"/>
  <c r="H35" i="7"/>
  <c r="D36" i="7"/>
  <c r="E36" i="7"/>
  <c r="G36" i="7" s="1"/>
  <c r="H36" i="7"/>
  <c r="F37" i="7"/>
  <c r="D37" i="7" s="1"/>
  <c r="C38" i="7"/>
  <c r="C37" i="7" s="1"/>
  <c r="D38" i="7"/>
  <c r="E38" i="7"/>
  <c r="G38" i="7"/>
  <c r="H38" i="7"/>
  <c r="D39" i="7"/>
  <c r="E39" i="7"/>
  <c r="E37" i="7" s="1"/>
  <c r="H37" i="7" s="1"/>
  <c r="G39" i="7"/>
  <c r="H39" i="7"/>
  <c r="C41" i="7"/>
  <c r="C41" i="15" s="1"/>
  <c r="D41" i="7"/>
  <c r="D40" i="7" s="1"/>
  <c r="G41" i="7"/>
  <c r="C42" i="7"/>
  <c r="C42" i="15" s="1"/>
  <c r="G42" i="7"/>
  <c r="C43" i="7"/>
  <c r="C43" i="15" s="1"/>
  <c r="G43" i="7"/>
  <c r="C44" i="7"/>
  <c r="D44" i="7"/>
  <c r="G44" i="7"/>
  <c r="C45" i="7"/>
  <c r="F45" i="7"/>
  <c r="F40" i="7" s="1"/>
  <c r="D46" i="7"/>
  <c r="D45" i="7" s="1"/>
  <c r="E46" i="7"/>
  <c r="E45" i="7" s="1"/>
  <c r="G46" i="7"/>
  <c r="G47" i="7"/>
  <c r="C50" i="7"/>
  <c r="E50" i="7"/>
  <c r="C51" i="7"/>
  <c r="E51" i="7"/>
  <c r="C53" i="7"/>
  <c r="C52" i="7" s="1"/>
  <c r="D53" i="7"/>
  <c r="D52" i="7" s="1"/>
  <c r="E53" i="7"/>
  <c r="H53" i="7"/>
  <c r="C54" i="7"/>
  <c r="E54" i="7"/>
  <c r="F54" i="7"/>
  <c r="D54" i="7" s="1"/>
  <c r="H54" i="7"/>
  <c r="C55" i="7"/>
  <c r="D55" i="7"/>
  <c r="E55" i="7"/>
  <c r="G55" i="7"/>
  <c r="C56" i="7"/>
  <c r="D56" i="7"/>
  <c r="E56" i="7"/>
  <c r="G56" i="7"/>
  <c r="H56" i="7"/>
  <c r="C57" i="7"/>
  <c r="D57" i="7"/>
  <c r="E57" i="7"/>
  <c r="G57" i="7" s="1"/>
  <c r="C58" i="7"/>
  <c r="D58" i="7"/>
  <c r="E58" i="7"/>
  <c r="G58" i="7" s="1"/>
  <c r="C59" i="7"/>
  <c r="F59" i="7"/>
  <c r="C60" i="7"/>
  <c r="D60" i="7"/>
  <c r="D59" i="7" s="1"/>
  <c r="E60" i="7"/>
  <c r="E59" i="7" s="1"/>
  <c r="H60" i="7"/>
  <c r="C61" i="7"/>
  <c r="D61" i="7"/>
  <c r="E61" i="7"/>
  <c r="G61" i="7"/>
  <c r="H61" i="7"/>
  <c r="C62" i="7"/>
  <c r="D62" i="7"/>
  <c r="E62" i="7"/>
  <c r="G62" i="7" s="1"/>
  <c r="H62" i="7"/>
  <c r="C63" i="7"/>
  <c r="D63" i="7"/>
  <c r="E63" i="7"/>
  <c r="G63" i="7"/>
  <c r="C64" i="7"/>
  <c r="D64" i="7"/>
  <c r="E64" i="7"/>
  <c r="G64" i="7"/>
  <c r="H64" i="7"/>
  <c r="C65" i="7"/>
  <c r="G65" i="7"/>
  <c r="C66" i="7"/>
  <c r="G66" i="7"/>
  <c r="C67" i="7"/>
  <c r="G67" i="7"/>
  <c r="C68" i="7"/>
  <c r="F68" i="7"/>
  <c r="C69" i="7"/>
  <c r="D69" i="7"/>
  <c r="D68" i="7" s="1"/>
  <c r="E69" i="7"/>
  <c r="E68" i="7" s="1"/>
  <c r="H69" i="7"/>
  <c r="C70" i="7"/>
  <c r="G70" i="7"/>
  <c r="C71" i="7"/>
  <c r="G71" i="7"/>
  <c r="C72" i="7"/>
  <c r="D72" i="7"/>
  <c r="E72" i="7"/>
  <c r="G72" i="7"/>
  <c r="H72" i="7"/>
  <c r="C73" i="7"/>
  <c r="G73" i="7"/>
  <c r="C74" i="7"/>
  <c r="C75" i="7"/>
  <c r="G75" i="7"/>
  <c r="C76" i="7"/>
  <c r="D76" i="7"/>
  <c r="D74" i="7" s="1"/>
  <c r="E76" i="7"/>
  <c r="E74" i="7" s="1"/>
  <c r="F76" i="7"/>
  <c r="J76" i="15" s="1"/>
  <c r="C77" i="7"/>
  <c r="G77" i="7"/>
  <c r="C78" i="7"/>
  <c r="G78" i="7"/>
  <c r="C79" i="7"/>
  <c r="D79" i="7"/>
  <c r="E79" i="7"/>
  <c r="F79" i="7"/>
  <c r="G79" i="7"/>
  <c r="C80" i="7"/>
  <c r="G80" i="7"/>
  <c r="C81" i="7"/>
  <c r="G81" i="7"/>
  <c r="C82" i="7"/>
  <c r="D82" i="7"/>
  <c r="E82" i="7"/>
  <c r="F82" i="7"/>
  <c r="J82" i="15" s="1"/>
  <c r="C83" i="7"/>
  <c r="G83" i="7"/>
  <c r="C84" i="7"/>
  <c r="G84" i="7"/>
  <c r="C85" i="7"/>
  <c r="G85" i="7"/>
  <c r="C86" i="7"/>
  <c r="G86" i="7"/>
  <c r="C87" i="7"/>
  <c r="G87" i="7"/>
  <c r="C88" i="7"/>
  <c r="G88" i="7"/>
  <c r="C89" i="7"/>
  <c r="G89" i="7"/>
  <c r="F94" i="7"/>
  <c r="C95" i="7"/>
  <c r="C94" i="7" s="1"/>
  <c r="D95" i="7"/>
  <c r="D94" i="7" s="1"/>
  <c r="E95" i="7"/>
  <c r="E94" i="7" s="1"/>
  <c r="H94" i="7" s="1"/>
  <c r="G95" i="7"/>
  <c r="H95" i="7"/>
  <c r="C96" i="7"/>
  <c r="G96" i="7"/>
  <c r="C97" i="7"/>
  <c r="G97" i="7"/>
  <c r="C98" i="7"/>
  <c r="G98" i="7"/>
  <c r="F99" i="7"/>
  <c r="C100" i="7"/>
  <c r="C99" i="7" s="1"/>
  <c r="D100" i="7"/>
  <c r="D99" i="7" s="1"/>
  <c r="E100" i="7"/>
  <c r="E99" i="7" s="1"/>
  <c r="H100" i="7"/>
  <c r="C101" i="7"/>
  <c r="D101" i="7"/>
  <c r="E101" i="7"/>
  <c r="G101" i="7"/>
  <c r="C103" i="7"/>
  <c r="C102" i="7" s="1"/>
  <c r="C107" i="7" s="1"/>
  <c r="E103" i="7"/>
  <c r="E102" i="7" s="1"/>
  <c r="C104" i="7"/>
  <c r="D104" i="7"/>
  <c r="E104" i="7"/>
  <c r="G104" i="7"/>
  <c r="H104" i="7"/>
  <c r="C105" i="7"/>
  <c r="G105" i="7"/>
  <c r="C106" i="7"/>
  <c r="G106" i="7"/>
  <c r="C109" i="7"/>
  <c r="D109" i="7"/>
  <c r="E109" i="7"/>
  <c r="F109" i="7"/>
  <c r="G109" i="7"/>
  <c r="G110" i="7"/>
  <c r="G111" i="7"/>
  <c r="G112" i="7"/>
  <c r="G113" i="7"/>
  <c r="G114" i="7"/>
  <c r="G115" i="7"/>
  <c r="C116" i="7"/>
  <c r="D116" i="7"/>
  <c r="E116" i="7"/>
  <c r="F116" i="7"/>
  <c r="G116" i="7" s="1"/>
  <c r="G117" i="7"/>
  <c r="G118" i="7"/>
  <c r="G119" i="7"/>
  <c r="G120" i="7"/>
  <c r="G122" i="7"/>
  <c r="G123" i="7"/>
  <c r="G124" i="7"/>
  <c r="G126" i="7"/>
  <c r="G128" i="7"/>
  <c r="E129" i="7"/>
  <c r="F129" i="7"/>
  <c r="G129" i="7"/>
  <c r="C130" i="7"/>
  <c r="C129" i="7" s="1"/>
  <c r="C128" i="7" s="1"/>
  <c r="C135" i="7" s="1"/>
  <c r="C141" i="7" s="1"/>
  <c r="D130" i="7"/>
  <c r="D129" i="7" s="1"/>
  <c r="G130" i="7"/>
  <c r="C131" i="7"/>
  <c r="D131" i="7"/>
  <c r="G131" i="7"/>
  <c r="C132" i="7"/>
  <c r="G132" i="7"/>
  <c r="C133" i="7"/>
  <c r="D133" i="7"/>
  <c r="G133" i="7"/>
  <c r="C134" i="7"/>
  <c r="F134" i="7"/>
  <c r="J134" i="15" s="1"/>
  <c r="D135" i="7"/>
  <c r="E135" i="7"/>
  <c r="F135" i="7"/>
  <c r="G135" i="7"/>
  <c r="C136" i="7"/>
  <c r="D136" i="7"/>
  <c r="G136" i="7"/>
  <c r="C137" i="7"/>
  <c r="D137" i="7"/>
  <c r="G137" i="7"/>
  <c r="C138" i="7"/>
  <c r="D138" i="7"/>
  <c r="E138" i="7"/>
  <c r="F138" i="7"/>
  <c r="G138" i="7" s="1"/>
  <c r="C139" i="7"/>
  <c r="C140" i="7"/>
  <c r="F141" i="7"/>
  <c r="D141" i="7" s="1"/>
  <c r="C143" i="7"/>
  <c r="D143" i="7"/>
  <c r="E143" i="7"/>
  <c r="F143" i="7"/>
  <c r="J143" i="15" s="1"/>
  <c r="G144" i="7"/>
  <c r="G145" i="7"/>
  <c r="G146" i="7"/>
  <c r="C147" i="7"/>
  <c r="D147" i="7"/>
  <c r="E147" i="7"/>
  <c r="F147" i="7"/>
  <c r="J147" i="15" s="1"/>
  <c r="G148" i="7"/>
  <c r="G149" i="7"/>
  <c r="G150" i="7"/>
  <c r="F152" i="7"/>
  <c r="B16" i="7" s="1"/>
  <c r="C153" i="7"/>
  <c r="C152" i="7" s="1"/>
  <c r="D153" i="7"/>
  <c r="D153" i="15" s="1"/>
  <c r="E153" i="7"/>
  <c r="E152" i="7" s="1"/>
  <c r="H152" i="7" s="1"/>
  <c r="G153" i="7"/>
  <c r="H153" i="7"/>
  <c r="C154" i="7"/>
  <c r="D154" i="7"/>
  <c r="D154" i="15" s="1"/>
  <c r="D154" i="16" s="1"/>
  <c r="D154" i="17" s="1"/>
  <c r="E154" i="7"/>
  <c r="G154" i="7" s="1"/>
  <c r="H154" i="7"/>
  <c r="C155" i="7"/>
  <c r="D155" i="7"/>
  <c r="D155" i="15" s="1"/>
  <c r="D155" i="16" s="1"/>
  <c r="E155" i="7"/>
  <c r="G155" i="7"/>
  <c r="H155" i="7"/>
  <c r="C156" i="7"/>
  <c r="D156" i="7"/>
  <c r="D156" i="15" s="1"/>
  <c r="E156" i="7"/>
  <c r="G156" i="7" s="1"/>
  <c r="H156" i="7"/>
  <c r="C157" i="7"/>
  <c r="D157" i="7"/>
  <c r="D157" i="15" s="1"/>
  <c r="D157" i="16" s="1"/>
  <c r="D157" i="17" s="1"/>
  <c r="E157" i="7"/>
  <c r="G157" i="7"/>
  <c r="H157" i="7"/>
  <c r="C158" i="7"/>
  <c r="D158" i="7"/>
  <c r="D158" i="15" s="1"/>
  <c r="E158" i="7"/>
  <c r="G158" i="7" s="1"/>
  <c r="H158" i="7"/>
  <c r="C160" i="7"/>
  <c r="C159" i="7" s="1"/>
  <c r="F160" i="7"/>
  <c r="C161" i="7"/>
  <c r="C162" i="7"/>
  <c r="F162" i="7"/>
  <c r="D162" i="7" s="1"/>
  <c r="C163" i="7"/>
  <c r="F163" i="7"/>
  <c r="D163" i="7" s="1"/>
  <c r="F164" i="7"/>
  <c r="D164" i="7" s="1"/>
  <c r="C167" i="7"/>
  <c r="C166" i="7" s="1"/>
  <c r="C173" i="7" s="1"/>
  <c r="D167" i="7"/>
  <c r="D167" i="15" s="1"/>
  <c r="C168" i="7"/>
  <c r="F168" i="7"/>
  <c r="F161" i="7" s="1"/>
  <c r="C169" i="7"/>
  <c r="D169" i="7"/>
  <c r="D169" i="15" s="1"/>
  <c r="C170" i="7"/>
  <c r="D170" i="7"/>
  <c r="D170" i="15" s="1"/>
  <c r="C171" i="7"/>
  <c r="D171" i="7"/>
  <c r="D171" i="15" s="1"/>
  <c r="C172" i="7"/>
  <c r="F172" i="7"/>
  <c r="F165" i="7" s="1"/>
  <c r="C174" i="7"/>
  <c r="D174" i="7"/>
  <c r="F174" i="7"/>
  <c r="C175" i="7"/>
  <c r="F175" i="7"/>
  <c r="C176" i="7"/>
  <c r="D176" i="7"/>
  <c r="F176" i="7"/>
  <c r="C177" i="7"/>
  <c r="D177" i="7"/>
  <c r="F177" i="7"/>
  <c r="C178" i="7"/>
  <c r="D178" i="7"/>
  <c r="F178" i="7"/>
  <c r="C179" i="7"/>
  <c r="F179" i="7"/>
  <c r="C180" i="7"/>
  <c r="G180" i="7"/>
  <c r="C38" i="3"/>
  <c r="D38" i="3"/>
  <c r="D37" i="3" s="1"/>
  <c r="E38" i="3"/>
  <c r="E37" i="3" s="1"/>
  <c r="F40" i="3"/>
  <c r="F38" i="3" s="1"/>
  <c r="F41" i="3"/>
  <c r="C42" i="3"/>
  <c r="D42" i="3"/>
  <c r="E42" i="3"/>
  <c r="G42" i="3"/>
  <c r="H42" i="3"/>
  <c r="I42" i="3"/>
  <c r="E37" i="16" s="1"/>
  <c r="J42" i="3"/>
  <c r="F43" i="3"/>
  <c r="F42" i="3" s="1"/>
  <c r="F44" i="3"/>
  <c r="D45" i="3"/>
  <c r="E45" i="3"/>
  <c r="C50" i="3"/>
  <c r="C45" i="3" s="1"/>
  <c r="C95" i="3" s="1"/>
  <c r="G50" i="3"/>
  <c r="G45" i="3" s="1"/>
  <c r="H50" i="3"/>
  <c r="E45" i="15" s="1"/>
  <c r="I50" i="3"/>
  <c r="I45" i="3" s="1"/>
  <c r="J50" i="3"/>
  <c r="E45" i="17" s="1"/>
  <c r="F51" i="3"/>
  <c r="F50" i="3" s="1"/>
  <c r="F45" i="3" s="1"/>
  <c r="F55" i="3"/>
  <c r="K55" i="3"/>
  <c r="F56" i="3"/>
  <c r="K56" i="3"/>
  <c r="F58" i="3"/>
  <c r="F59" i="3"/>
  <c r="K59" i="3" s="1"/>
  <c r="F60" i="3"/>
  <c r="K60" i="3" s="1"/>
  <c r="F61" i="3"/>
  <c r="K61" i="3" s="1"/>
  <c r="F62" i="3"/>
  <c r="K62" i="3" s="1"/>
  <c r="F63" i="3"/>
  <c r="K63" i="3" s="1"/>
  <c r="C64" i="3"/>
  <c r="C57" i="3" s="1"/>
  <c r="C54" i="3" s="1"/>
  <c r="D64" i="3"/>
  <c r="D57" i="3" s="1"/>
  <c r="D54" i="3" s="1"/>
  <c r="E64" i="3"/>
  <c r="E57" i="3" s="1"/>
  <c r="E54" i="3" s="1"/>
  <c r="G64" i="3"/>
  <c r="G57" i="3" s="1"/>
  <c r="G54" i="3" s="1"/>
  <c r="H64" i="3"/>
  <c r="H57" i="3" s="1"/>
  <c r="H54" i="3" s="1"/>
  <c r="I64" i="3"/>
  <c r="E59" i="16" s="1"/>
  <c r="J64" i="3"/>
  <c r="J57" i="3" s="1"/>
  <c r="J54" i="3" s="1"/>
  <c r="F65" i="3"/>
  <c r="F64" i="3" s="1"/>
  <c r="K64" i="3" s="1"/>
  <c r="K65" i="3"/>
  <c r="F66" i="3"/>
  <c r="K66" i="3"/>
  <c r="F67" i="3"/>
  <c r="K67" i="3"/>
  <c r="F68" i="3"/>
  <c r="K68" i="3"/>
  <c r="F69" i="3"/>
  <c r="K69" i="3"/>
  <c r="K70" i="3"/>
  <c r="K71" i="3"/>
  <c r="K72" i="3"/>
  <c r="C73" i="3"/>
  <c r="G73" i="3"/>
  <c r="H73" i="3"/>
  <c r="I73" i="3"/>
  <c r="E68" i="16" s="1"/>
  <c r="J73" i="3"/>
  <c r="F74" i="3"/>
  <c r="F73" i="3" s="1"/>
  <c r="K73" i="3" s="1"/>
  <c r="K74" i="3"/>
  <c r="F77" i="3"/>
  <c r="C79" i="3"/>
  <c r="E79" i="3"/>
  <c r="G79" i="3"/>
  <c r="I79" i="3"/>
  <c r="E74" i="16" s="1"/>
  <c r="F80" i="3"/>
  <c r="F79" i="3" s="1"/>
  <c r="C81" i="3"/>
  <c r="D81" i="3"/>
  <c r="D79" i="3" s="1"/>
  <c r="E81" i="3"/>
  <c r="F81" i="3"/>
  <c r="G81" i="3"/>
  <c r="H81" i="3"/>
  <c r="H79" i="3" s="1"/>
  <c r="I81" i="3"/>
  <c r="E76" i="16" s="1"/>
  <c r="G76" i="16" s="1"/>
  <c r="J81" i="3"/>
  <c r="E76" i="17" s="1"/>
  <c r="C84" i="3"/>
  <c r="D84" i="3"/>
  <c r="E84" i="3"/>
  <c r="F84" i="3"/>
  <c r="G84" i="3"/>
  <c r="H84" i="3"/>
  <c r="I79" i="15" s="1"/>
  <c r="I84" i="3"/>
  <c r="E79" i="16" s="1"/>
  <c r="J84" i="3"/>
  <c r="C87" i="3"/>
  <c r="D87" i="3"/>
  <c r="E87" i="3"/>
  <c r="F87" i="3"/>
  <c r="G87" i="3"/>
  <c r="H87" i="3"/>
  <c r="I87" i="3"/>
  <c r="E82" i="16" s="1"/>
  <c r="G82" i="16" s="1"/>
  <c r="J87" i="3"/>
  <c r="D95" i="3"/>
  <c r="E95" i="3"/>
  <c r="C99" i="3"/>
  <c r="D99" i="3"/>
  <c r="E99" i="3"/>
  <c r="F99" i="3"/>
  <c r="G99" i="3"/>
  <c r="H99" i="3"/>
  <c r="I99" i="3"/>
  <c r="J99" i="3"/>
  <c r="F100" i="3"/>
  <c r="C104" i="3"/>
  <c r="C112" i="3" s="1"/>
  <c r="D104" i="3"/>
  <c r="E104" i="3"/>
  <c r="E112" i="3" s="1"/>
  <c r="G104" i="3"/>
  <c r="G112" i="3" s="1"/>
  <c r="H104" i="3"/>
  <c r="I104" i="3"/>
  <c r="I112" i="3" s="1"/>
  <c r="J104" i="3"/>
  <c r="F105" i="3"/>
  <c r="F104" i="3" s="1"/>
  <c r="C107" i="3"/>
  <c r="D107" i="3"/>
  <c r="E107" i="3"/>
  <c r="G107" i="3"/>
  <c r="H107" i="3"/>
  <c r="I107" i="3"/>
  <c r="J107" i="3"/>
  <c r="F108" i="3"/>
  <c r="F109" i="3"/>
  <c r="F107" i="3" s="1"/>
  <c r="F112" i="3" s="1"/>
  <c r="D112" i="3"/>
  <c r="H112" i="3"/>
  <c r="J112" i="3"/>
  <c r="D114" i="3"/>
  <c r="E114" i="3"/>
  <c r="G114" i="3"/>
  <c r="H114" i="3"/>
  <c r="I114" i="3"/>
  <c r="J114" i="3"/>
  <c r="F116" i="3"/>
  <c r="F114" i="3" s="1"/>
  <c r="D126" i="3"/>
  <c r="E126" i="3"/>
  <c r="F126" i="3"/>
  <c r="C129" i="3"/>
  <c r="F129" i="3"/>
  <c r="F128" i="3" s="1"/>
  <c r="F135" i="3" s="1"/>
  <c r="F141" i="3" s="1"/>
  <c r="F132" i="3"/>
  <c r="C135" i="3"/>
  <c r="D135" i="3"/>
  <c r="E135" i="3"/>
  <c r="C138" i="3"/>
  <c r="D138" i="3"/>
  <c r="E138" i="3"/>
  <c r="F138" i="3"/>
  <c r="C143" i="3"/>
  <c r="D143" i="3"/>
  <c r="E143" i="3"/>
  <c r="C147" i="3"/>
  <c r="D147" i="3"/>
  <c r="E147" i="3"/>
  <c r="C152" i="3"/>
  <c r="D152" i="3"/>
  <c r="E152" i="3"/>
  <c r="G152" i="3"/>
  <c r="H152" i="3"/>
  <c r="I152" i="3"/>
  <c r="J152" i="3"/>
  <c r="F153" i="3"/>
  <c r="E154" i="3"/>
  <c r="F154" i="3"/>
  <c r="E155" i="3"/>
  <c r="F155" i="3"/>
  <c r="E156" i="3"/>
  <c r="F156" i="3"/>
  <c r="E157" i="3"/>
  <c r="F157" i="3"/>
  <c r="E158" i="3"/>
  <c r="F158" i="3"/>
  <c r="C159" i="3"/>
  <c r="D159" i="3"/>
  <c r="D160" i="3"/>
  <c r="E160" i="3"/>
  <c r="E159" i="3" s="1"/>
  <c r="I160" i="3"/>
  <c r="G162" i="3"/>
  <c r="I164" i="3"/>
  <c r="E164" i="16" s="1"/>
  <c r="H164" i="16" s="1"/>
  <c r="C166" i="3"/>
  <c r="D166" i="3"/>
  <c r="E166" i="3"/>
  <c r="F166" i="3"/>
  <c r="G167" i="3"/>
  <c r="H167" i="3"/>
  <c r="I167" i="3"/>
  <c r="E167" i="16" s="1"/>
  <c r="J167" i="3"/>
  <c r="G168" i="3"/>
  <c r="H168" i="3"/>
  <c r="E168" i="15" s="1"/>
  <c r="I168" i="3"/>
  <c r="J168" i="3"/>
  <c r="E168" i="17" s="1"/>
  <c r="G169" i="3"/>
  <c r="E169" i="7" s="1"/>
  <c r="H169" i="3"/>
  <c r="I169" i="3"/>
  <c r="E169" i="16" s="1"/>
  <c r="J169" i="3"/>
  <c r="G170" i="3"/>
  <c r="H170" i="3"/>
  <c r="E170" i="15" s="1"/>
  <c r="I170" i="3"/>
  <c r="J170" i="3"/>
  <c r="E170" i="17" s="1"/>
  <c r="G171" i="3"/>
  <c r="E171" i="7" s="1"/>
  <c r="H171" i="3"/>
  <c r="I171" i="3"/>
  <c r="E171" i="16" s="1"/>
  <c r="J171" i="3"/>
  <c r="G172" i="3"/>
  <c r="H172" i="3"/>
  <c r="E172" i="15" s="1"/>
  <c r="I172" i="3"/>
  <c r="J172" i="3"/>
  <c r="E172" i="17" s="1"/>
  <c r="D173" i="3"/>
  <c r="E173" i="3"/>
  <c r="F174" i="3"/>
  <c r="F175" i="3"/>
  <c r="F176" i="3"/>
  <c r="F177" i="3"/>
  <c r="F178" i="3"/>
  <c r="F179" i="3"/>
  <c r="H172" i="15" l="1"/>
  <c r="G172" i="15"/>
  <c r="E171" i="15"/>
  <c r="H164" i="3"/>
  <c r="E164" i="15" s="1"/>
  <c r="H164" i="15" s="1"/>
  <c r="H170" i="15"/>
  <c r="G170" i="15"/>
  <c r="E169" i="17"/>
  <c r="J162" i="3"/>
  <c r="E162" i="17" s="1"/>
  <c r="E169" i="15"/>
  <c r="H162" i="3"/>
  <c r="E162" i="15" s="1"/>
  <c r="H162" i="15" s="1"/>
  <c r="H168" i="15"/>
  <c r="G168" i="15"/>
  <c r="E167" i="17"/>
  <c r="J160" i="3"/>
  <c r="E167" i="15"/>
  <c r="H160" i="3"/>
  <c r="J166" i="3"/>
  <c r="J173" i="3" s="1"/>
  <c r="H166" i="3"/>
  <c r="H173" i="3" s="1"/>
  <c r="H165" i="3"/>
  <c r="E165" i="15" s="1"/>
  <c r="H165" i="15" s="1"/>
  <c r="J163" i="3"/>
  <c r="E163" i="17" s="1"/>
  <c r="E162" i="7"/>
  <c r="H162" i="7" s="1"/>
  <c r="H161" i="3"/>
  <c r="E161" i="15" s="1"/>
  <c r="H161" i="15" s="1"/>
  <c r="E160" i="16"/>
  <c r="H53" i="3"/>
  <c r="H96" i="3"/>
  <c r="E53" i="3"/>
  <c r="E96" i="3"/>
  <c r="E97" i="3" s="1"/>
  <c r="E122" i="3" s="1"/>
  <c r="C53" i="3"/>
  <c r="C96" i="3"/>
  <c r="F57" i="3"/>
  <c r="C97" i="3"/>
  <c r="D153" i="16"/>
  <c r="D152" i="15"/>
  <c r="G99" i="7"/>
  <c r="H99" i="7"/>
  <c r="G68" i="7"/>
  <c r="H68" i="7"/>
  <c r="G59" i="7"/>
  <c r="H59" i="7"/>
  <c r="F32" i="7"/>
  <c r="H33" i="7"/>
  <c r="G33" i="7"/>
  <c r="C159" i="13"/>
  <c r="I129" i="15"/>
  <c r="C128" i="15"/>
  <c r="C48" i="13"/>
  <c r="C91" i="13"/>
  <c r="C92" i="13" s="1"/>
  <c r="I166" i="15"/>
  <c r="C173" i="15"/>
  <c r="I173" i="15" s="1"/>
  <c r="D164" i="15"/>
  <c r="D162" i="15"/>
  <c r="F103" i="15"/>
  <c r="G152" i="15"/>
  <c r="H152" i="15"/>
  <c r="H172" i="17"/>
  <c r="G172" i="17"/>
  <c r="E179" i="17"/>
  <c r="E171" i="17"/>
  <c r="J164" i="3"/>
  <c r="E164" i="17" s="1"/>
  <c r="H170" i="17"/>
  <c r="G170" i="17"/>
  <c r="E177" i="17"/>
  <c r="H168" i="17"/>
  <c r="G168" i="17"/>
  <c r="E175" i="17"/>
  <c r="E172" i="16"/>
  <c r="I165" i="3"/>
  <c r="E165" i="16" s="1"/>
  <c r="H165" i="16" s="1"/>
  <c r="E172" i="7"/>
  <c r="G165" i="3"/>
  <c r="H171" i="16"/>
  <c r="G171" i="16"/>
  <c r="E178" i="16"/>
  <c r="H171" i="7"/>
  <c r="G171" i="7"/>
  <c r="E178" i="7"/>
  <c r="H178" i="7" s="1"/>
  <c r="E170" i="16"/>
  <c r="I163" i="3"/>
  <c r="E163" i="16" s="1"/>
  <c r="H163" i="16" s="1"/>
  <c r="E170" i="7"/>
  <c r="G163" i="3"/>
  <c r="H169" i="16"/>
  <c r="G169" i="16"/>
  <c r="E176" i="16"/>
  <c r="H169" i="7"/>
  <c r="G169" i="7"/>
  <c r="E176" i="7"/>
  <c r="H176" i="7" s="1"/>
  <c r="E168" i="16"/>
  <c r="I161" i="3"/>
  <c r="E161" i="16" s="1"/>
  <c r="H161" i="16" s="1"/>
  <c r="E168" i="7"/>
  <c r="G161" i="3"/>
  <c r="E166" i="16"/>
  <c r="H167" i="16"/>
  <c r="E174" i="16"/>
  <c r="H174" i="16" s="1"/>
  <c r="G167" i="16"/>
  <c r="E167" i="7"/>
  <c r="G166" i="3"/>
  <c r="G173" i="3" s="1"/>
  <c r="I166" i="3"/>
  <c r="I173" i="3" s="1"/>
  <c r="J165" i="3"/>
  <c r="E165" i="17" s="1"/>
  <c r="G164" i="3"/>
  <c r="H163" i="3"/>
  <c r="E163" i="15" s="1"/>
  <c r="H163" i="15" s="1"/>
  <c r="I162" i="3"/>
  <c r="E162" i="16" s="1"/>
  <c r="H162" i="16" s="1"/>
  <c r="J161" i="3"/>
  <c r="E161" i="17" s="1"/>
  <c r="G160" i="3"/>
  <c r="F152" i="3"/>
  <c r="F173" i="3" s="1"/>
  <c r="G53" i="3"/>
  <c r="G96" i="3"/>
  <c r="D53" i="3"/>
  <c r="D96" i="3"/>
  <c r="D97" i="3" s="1"/>
  <c r="D122" i="3" s="1"/>
  <c r="E40" i="16"/>
  <c r="I37" i="3"/>
  <c r="I95" i="3"/>
  <c r="E40" i="7"/>
  <c r="G40" i="7" s="1"/>
  <c r="G37" i="3"/>
  <c r="G95" i="3"/>
  <c r="G97" i="3" s="1"/>
  <c r="F95" i="3"/>
  <c r="G178" i="7"/>
  <c r="G176" i="7"/>
  <c r="D165" i="7"/>
  <c r="D171" i="16"/>
  <c r="D178" i="15"/>
  <c r="J178" i="15" s="1"/>
  <c r="J171" i="15"/>
  <c r="D170" i="16"/>
  <c r="J170" i="15"/>
  <c r="D177" i="15"/>
  <c r="J177" i="15" s="1"/>
  <c r="D176" i="15"/>
  <c r="J176" i="15" s="1"/>
  <c r="J169" i="15"/>
  <c r="D161" i="7"/>
  <c r="D167" i="16"/>
  <c r="D174" i="15"/>
  <c r="J174" i="15" s="1"/>
  <c r="J167" i="15"/>
  <c r="F159" i="7"/>
  <c r="E107" i="7"/>
  <c r="G94" i="7"/>
  <c r="E52" i="7"/>
  <c r="E49" i="7" s="1"/>
  <c r="C49" i="7"/>
  <c r="E32" i="7"/>
  <c r="E90" i="7" s="1"/>
  <c r="E48" i="13"/>
  <c r="E91" i="13"/>
  <c r="D32" i="13"/>
  <c r="D165" i="15"/>
  <c r="D163" i="15"/>
  <c r="D161" i="15"/>
  <c r="I102" i="15"/>
  <c r="J79" i="3"/>
  <c r="E74" i="17" s="1"/>
  <c r="K58" i="3"/>
  <c r="I57" i="3"/>
  <c r="I54" i="3" s="1"/>
  <c r="G45" i="17"/>
  <c r="E40" i="17"/>
  <c r="I45" i="15"/>
  <c r="E40" i="15"/>
  <c r="G45" i="15"/>
  <c r="J45" i="3"/>
  <c r="H45" i="3"/>
  <c r="G172" i="7"/>
  <c r="D168" i="7"/>
  <c r="G162" i="7"/>
  <c r="G152" i="7"/>
  <c r="G147" i="7"/>
  <c r="G143" i="7"/>
  <c r="G134" i="7"/>
  <c r="D134" i="7"/>
  <c r="G100" i="7"/>
  <c r="G82" i="7"/>
  <c r="G76" i="7"/>
  <c r="F74" i="7"/>
  <c r="G74" i="7" s="1"/>
  <c r="G69" i="7"/>
  <c r="G60" i="7"/>
  <c r="G54" i="7"/>
  <c r="G53" i="7"/>
  <c r="F52" i="7"/>
  <c r="G45" i="7"/>
  <c r="G37" i="7"/>
  <c r="G35" i="7"/>
  <c r="C179" i="13"/>
  <c r="C166" i="13"/>
  <c r="C173" i="13" s="1"/>
  <c r="D128" i="13"/>
  <c r="D135" i="13" s="1"/>
  <c r="D141" i="13" s="1"/>
  <c r="D125" i="13" s="1"/>
  <c r="C106" i="16"/>
  <c r="C98" i="16"/>
  <c r="C96" i="16"/>
  <c r="D94" i="13"/>
  <c r="C74" i="17"/>
  <c r="F74" i="13"/>
  <c r="F48" i="13" s="1"/>
  <c r="D52" i="13"/>
  <c r="D49" i="13" s="1"/>
  <c r="G165" i="15"/>
  <c r="G164" i="15"/>
  <c r="G163" i="15"/>
  <c r="G162" i="15"/>
  <c r="G161" i="15"/>
  <c r="D138" i="15"/>
  <c r="J137" i="15"/>
  <c r="F135" i="15"/>
  <c r="F141" i="15" s="1"/>
  <c r="F125" i="15" s="1"/>
  <c r="J131" i="15"/>
  <c r="I130" i="15"/>
  <c r="J129" i="15"/>
  <c r="J109" i="15"/>
  <c r="D105" i="17"/>
  <c r="D105" i="16"/>
  <c r="C94" i="15"/>
  <c r="I82" i="15"/>
  <c r="C82" i="16"/>
  <c r="I74" i="15"/>
  <c r="D53" i="17"/>
  <c r="F32" i="15"/>
  <c r="G50" i="16"/>
  <c r="F49" i="16"/>
  <c r="H50" i="16"/>
  <c r="C99" i="16"/>
  <c r="G74" i="16"/>
  <c r="C40" i="16"/>
  <c r="H37" i="16"/>
  <c r="G37" i="16"/>
  <c r="D172" i="7"/>
  <c r="F166" i="7"/>
  <c r="D166" i="7"/>
  <c r="D160" i="7"/>
  <c r="D159" i="7" s="1"/>
  <c r="D152" i="7"/>
  <c r="C40" i="7"/>
  <c r="C32" i="7" s="1"/>
  <c r="C90" i="7" s="1"/>
  <c r="D35" i="7"/>
  <c r="D33" i="7" s="1"/>
  <c r="D32" i="7" s="1"/>
  <c r="D90" i="7" s="1"/>
  <c r="F99" i="13"/>
  <c r="F107" i="13" s="1"/>
  <c r="D99" i="13"/>
  <c r="D107" i="13" s="1"/>
  <c r="C67" i="15"/>
  <c r="C67" i="16" s="1"/>
  <c r="C66" i="15"/>
  <c r="C66" i="16" s="1"/>
  <c r="C65" i="15"/>
  <c r="C65" i="16" s="1"/>
  <c r="C45" i="15"/>
  <c r="C40" i="15" s="1"/>
  <c r="C32" i="15" s="1"/>
  <c r="C90" i="15" s="1"/>
  <c r="E40" i="13"/>
  <c r="E90" i="13" s="1"/>
  <c r="E92" i="13" s="1"/>
  <c r="H50" i="15"/>
  <c r="G50" i="15"/>
  <c r="J116" i="15"/>
  <c r="C109" i="15"/>
  <c r="G109" i="15"/>
  <c r="D106" i="17"/>
  <c r="D106" i="16"/>
  <c r="G104" i="15"/>
  <c r="I104" i="15"/>
  <c r="I101" i="15"/>
  <c r="E99" i="15"/>
  <c r="C99" i="15"/>
  <c r="C107" i="15" s="1"/>
  <c r="J79" i="15"/>
  <c r="I76" i="15"/>
  <c r="J68" i="15"/>
  <c r="J59" i="15"/>
  <c r="C52" i="15"/>
  <c r="C49" i="15" s="1"/>
  <c r="C48" i="15" s="1"/>
  <c r="C91" i="15" s="1"/>
  <c r="G40" i="15"/>
  <c r="C94" i="16"/>
  <c r="D99" i="16"/>
  <c r="D100" i="17"/>
  <c r="D99" i="15"/>
  <c r="J99" i="15" s="1"/>
  <c r="D97" i="17"/>
  <c r="D97" i="16"/>
  <c r="E94" i="15"/>
  <c r="F74" i="15"/>
  <c r="G74" i="15" s="1"/>
  <c r="D74" i="15"/>
  <c r="D71" i="17"/>
  <c r="D71" i="16"/>
  <c r="D70" i="16"/>
  <c r="D70" i="17"/>
  <c r="E68" i="15"/>
  <c r="E59" i="15"/>
  <c r="D54" i="15"/>
  <c r="J54" i="15" s="1"/>
  <c r="E52" i="15"/>
  <c r="I52" i="15" s="1"/>
  <c r="D41" i="17"/>
  <c r="E37" i="15"/>
  <c r="D35" i="15"/>
  <c r="J35" i="15" s="1"/>
  <c r="E33" i="15"/>
  <c r="G174" i="16"/>
  <c r="F173" i="16"/>
  <c r="D169" i="16"/>
  <c r="D176" i="16" s="1"/>
  <c r="C175" i="16"/>
  <c r="H166" i="16"/>
  <c r="G165" i="16"/>
  <c r="G164" i="16"/>
  <c r="G163" i="16"/>
  <c r="G162" i="16"/>
  <c r="G161" i="16"/>
  <c r="G160" i="16"/>
  <c r="F159" i="16"/>
  <c r="H158" i="16"/>
  <c r="E152" i="16"/>
  <c r="C152" i="16"/>
  <c r="F152" i="16"/>
  <c r="I143" i="17"/>
  <c r="G143" i="16"/>
  <c r="E135" i="16"/>
  <c r="F107" i="16"/>
  <c r="H104" i="16"/>
  <c r="H100" i="16"/>
  <c r="D98" i="16"/>
  <c r="D96" i="16"/>
  <c r="E94" i="16"/>
  <c r="D82" i="16"/>
  <c r="D79" i="16"/>
  <c r="D76" i="16"/>
  <c r="D74" i="16" s="1"/>
  <c r="C76" i="16"/>
  <c r="H72" i="16"/>
  <c r="G68" i="16"/>
  <c r="D69" i="16"/>
  <c r="H64" i="16"/>
  <c r="H61" i="16"/>
  <c r="D60" i="16"/>
  <c r="H59" i="16"/>
  <c r="E52" i="16"/>
  <c r="H52" i="16" s="1"/>
  <c r="C52" i="16"/>
  <c r="H51" i="16"/>
  <c r="D35" i="16"/>
  <c r="D35" i="17" s="1"/>
  <c r="C33" i="16"/>
  <c r="C32" i="16" s="1"/>
  <c r="C90" i="16" s="1"/>
  <c r="C68" i="17"/>
  <c r="J100" i="15"/>
  <c r="I95" i="15"/>
  <c r="D94" i="16"/>
  <c r="D95" i="17"/>
  <c r="D94" i="17" s="1"/>
  <c r="D94" i="15"/>
  <c r="J94" i="15" s="1"/>
  <c r="C79" i="16"/>
  <c r="G75" i="15"/>
  <c r="J72" i="15"/>
  <c r="I69" i="15"/>
  <c r="J64" i="15"/>
  <c r="I62" i="15"/>
  <c r="J61" i="15"/>
  <c r="I60" i="15"/>
  <c r="J56" i="15"/>
  <c r="G54" i="15"/>
  <c r="I53" i="15"/>
  <c r="D52" i="15"/>
  <c r="J52" i="15" s="1"/>
  <c r="D45" i="15"/>
  <c r="J45" i="15" s="1"/>
  <c r="J44" i="15"/>
  <c r="D40" i="15"/>
  <c r="J40" i="15" s="1"/>
  <c r="J39" i="15"/>
  <c r="I38" i="15"/>
  <c r="D38" i="17"/>
  <c r="D37" i="16"/>
  <c r="D37" i="15"/>
  <c r="J37" i="15" s="1"/>
  <c r="G35" i="15"/>
  <c r="D34" i="17"/>
  <c r="D33" i="17" s="1"/>
  <c r="D33" i="16"/>
  <c r="D33" i="15"/>
  <c r="C173" i="16"/>
  <c r="G166" i="16"/>
  <c r="D158" i="16"/>
  <c r="D156" i="16"/>
  <c r="G147" i="16"/>
  <c r="I147" i="17"/>
  <c r="H128" i="16"/>
  <c r="I109" i="17"/>
  <c r="G109" i="16"/>
  <c r="E102" i="16"/>
  <c r="E107" i="16" s="1"/>
  <c r="C102" i="16"/>
  <c r="C107" i="16" s="1"/>
  <c r="G102" i="16"/>
  <c r="E99" i="16"/>
  <c r="G79" i="16"/>
  <c r="I79" i="17"/>
  <c r="C74" i="16"/>
  <c r="G59" i="16"/>
  <c r="D54" i="16"/>
  <c r="D54" i="17" s="1"/>
  <c r="E49" i="16"/>
  <c r="E48" i="16" s="1"/>
  <c r="E91" i="16" s="1"/>
  <c r="C49" i="16"/>
  <c r="E33" i="16"/>
  <c r="F32" i="16"/>
  <c r="D169" i="17"/>
  <c r="G165" i="17"/>
  <c r="G164" i="17"/>
  <c r="G163" i="17"/>
  <c r="F162" i="17"/>
  <c r="G161" i="17"/>
  <c r="F141" i="17"/>
  <c r="F125" i="17" s="1"/>
  <c r="F74" i="17"/>
  <c r="G74" i="17" s="1"/>
  <c r="G76" i="17"/>
  <c r="E68" i="17"/>
  <c r="E59" i="17"/>
  <c r="E52" i="17"/>
  <c r="C52" i="17"/>
  <c r="C49" i="17" s="1"/>
  <c r="C48" i="17" s="1"/>
  <c r="G52" i="17"/>
  <c r="G35" i="17"/>
  <c r="H35" i="17"/>
  <c r="E33" i="17"/>
  <c r="P22" i="18"/>
  <c r="Q22" i="18"/>
  <c r="D45" i="16"/>
  <c r="D40" i="16" s="1"/>
  <c r="F176" i="17"/>
  <c r="G169" i="17"/>
  <c r="C166" i="17"/>
  <c r="C173" i="17" s="1"/>
  <c r="H19" i="18" s="1"/>
  <c r="F166" i="17"/>
  <c r="H165" i="17"/>
  <c r="H164" i="17"/>
  <c r="H163" i="17"/>
  <c r="H161" i="17"/>
  <c r="D158" i="17"/>
  <c r="H157" i="17"/>
  <c r="D156" i="17"/>
  <c r="F152" i="17"/>
  <c r="H153" i="17"/>
  <c r="E152" i="17"/>
  <c r="C129" i="17"/>
  <c r="D28" i="18" s="1"/>
  <c r="F28" i="18" s="1"/>
  <c r="E99" i="17"/>
  <c r="H99" i="17" s="1"/>
  <c r="C99" i="17"/>
  <c r="C107" i="17" s="1"/>
  <c r="G99" i="17"/>
  <c r="G94" i="17"/>
  <c r="D82" i="17"/>
  <c r="D79" i="17"/>
  <c r="D76" i="17"/>
  <c r="D74" i="17" s="1"/>
  <c r="H69" i="17"/>
  <c r="H68" i="17" s="1"/>
  <c r="H62" i="17"/>
  <c r="H60" i="17"/>
  <c r="H54" i="17"/>
  <c r="H52" i="17"/>
  <c r="E49" i="17"/>
  <c r="E48" i="17" s="1"/>
  <c r="E91" i="17" s="1"/>
  <c r="G38" i="17"/>
  <c r="H38" i="17"/>
  <c r="E37" i="17"/>
  <c r="C32" i="17"/>
  <c r="P26" i="18"/>
  <c r="Q26" i="18"/>
  <c r="D155" i="17"/>
  <c r="G28" i="18"/>
  <c r="F40" i="17"/>
  <c r="F32" i="17" s="1"/>
  <c r="G44" i="17"/>
  <c r="G40" i="17" s="1"/>
  <c r="D44" i="17"/>
  <c r="D37" i="17"/>
  <c r="F25" i="18"/>
  <c r="E7" i="20" l="1"/>
  <c r="F90" i="17"/>
  <c r="C91" i="17"/>
  <c r="H7" i="18"/>
  <c r="H7" i="20" s="1"/>
  <c r="C92" i="15"/>
  <c r="E48" i="7"/>
  <c r="E91" i="7"/>
  <c r="B16" i="17"/>
  <c r="H152" i="17"/>
  <c r="G152" i="17"/>
  <c r="F50" i="17"/>
  <c r="F173" i="17"/>
  <c r="S22" i="18"/>
  <c r="T22" i="18" s="1"/>
  <c r="P28" i="18"/>
  <c r="E32" i="17"/>
  <c r="E90" i="17" s="1"/>
  <c r="E92" i="17" s="1"/>
  <c r="E122" i="17" s="1"/>
  <c r="G162" i="17"/>
  <c r="H162" i="17"/>
  <c r="F90" i="16"/>
  <c r="E107" i="17"/>
  <c r="E32" i="16"/>
  <c r="E90" i="16" s="1"/>
  <c r="E92" i="16" s="1"/>
  <c r="H33" i="16"/>
  <c r="D32" i="15"/>
  <c r="J33" i="15"/>
  <c r="D69" i="17"/>
  <c r="D68" i="16"/>
  <c r="D68" i="17" s="1"/>
  <c r="G107" i="16"/>
  <c r="H107" i="16"/>
  <c r="E141" i="16"/>
  <c r="G135" i="16"/>
  <c r="E32" i="15"/>
  <c r="I33" i="15"/>
  <c r="H37" i="15"/>
  <c r="G37" i="15"/>
  <c r="I37" i="15"/>
  <c r="H68" i="15"/>
  <c r="I68" i="15"/>
  <c r="G52" i="16"/>
  <c r="I99" i="15"/>
  <c r="H99" i="15"/>
  <c r="F173" i="7"/>
  <c r="F50" i="7"/>
  <c r="F48" i="16"/>
  <c r="H49" i="16"/>
  <c r="H33" i="15"/>
  <c r="E49" i="15"/>
  <c r="H52" i="15"/>
  <c r="G138" i="15"/>
  <c r="J138" i="15"/>
  <c r="D141" i="15"/>
  <c r="D48" i="13"/>
  <c r="D91" i="13"/>
  <c r="D92" i="13" s="1"/>
  <c r="G52" i="7"/>
  <c r="H52" i="7"/>
  <c r="D175" i="7"/>
  <c r="D168" i="15"/>
  <c r="H95" i="3"/>
  <c r="H97" i="3" s="1"/>
  <c r="H37" i="3"/>
  <c r="D161" i="16"/>
  <c r="D161" i="17" s="1"/>
  <c r="J161" i="15"/>
  <c r="D165" i="16"/>
  <c r="D165" i="17" s="1"/>
  <c r="J165" i="15"/>
  <c r="F91" i="13"/>
  <c r="F92" i="13" s="1"/>
  <c r="C48" i="7"/>
  <c r="C91" i="7"/>
  <c r="C92" i="7" s="1"/>
  <c r="J135" i="15"/>
  <c r="D171" i="17"/>
  <c r="D178" i="17" s="1"/>
  <c r="D178" i="16"/>
  <c r="E161" i="7"/>
  <c r="F161" i="3"/>
  <c r="E163" i="7"/>
  <c r="F163" i="3"/>
  <c r="E165" i="7"/>
  <c r="F165" i="3"/>
  <c r="H175" i="17"/>
  <c r="G175" i="17"/>
  <c r="H179" i="17"/>
  <c r="G179" i="17"/>
  <c r="F51" i="15"/>
  <c r="F102" i="15"/>
  <c r="H103" i="15"/>
  <c r="G103" i="15"/>
  <c r="D164" i="16"/>
  <c r="D164" i="17" s="1"/>
  <c r="J164" i="15"/>
  <c r="C135" i="15"/>
  <c r="I128" i="15"/>
  <c r="H32" i="7"/>
  <c r="G32" i="7"/>
  <c r="F90" i="7"/>
  <c r="D153" i="17"/>
  <c r="D152" i="17" s="1"/>
  <c r="D152" i="16"/>
  <c r="K57" i="3"/>
  <c r="J53" i="3"/>
  <c r="E159" i="16"/>
  <c r="H160" i="16"/>
  <c r="F162" i="3"/>
  <c r="E160" i="15"/>
  <c r="H159" i="3"/>
  <c r="E160" i="17"/>
  <c r="J159" i="3"/>
  <c r="C90" i="17"/>
  <c r="C92" i="17" s="1"/>
  <c r="D7" i="18"/>
  <c r="D7" i="20" s="1"/>
  <c r="D40" i="17"/>
  <c r="D32" i="17" s="1"/>
  <c r="H37" i="17"/>
  <c r="G37" i="17"/>
  <c r="Q28" i="18"/>
  <c r="T28" i="18" s="1"/>
  <c r="H33" i="17"/>
  <c r="G33" i="17"/>
  <c r="D45" i="17"/>
  <c r="H59" i="17"/>
  <c r="G59" i="17"/>
  <c r="F159" i="17"/>
  <c r="D176" i="17"/>
  <c r="G33" i="16"/>
  <c r="C48" i="16"/>
  <c r="C91" i="16" s="1"/>
  <c r="H99" i="16"/>
  <c r="G99" i="16"/>
  <c r="D32" i="16"/>
  <c r="D90" i="16" s="1"/>
  <c r="C92" i="16"/>
  <c r="D60" i="17"/>
  <c r="D59" i="17" s="1"/>
  <c r="D52" i="17" s="1"/>
  <c r="D59" i="16"/>
  <c r="H94" i="16"/>
  <c r="G94" i="16"/>
  <c r="H135" i="16"/>
  <c r="G152" i="16"/>
  <c r="B16" i="16"/>
  <c r="H152" i="16"/>
  <c r="G159" i="16"/>
  <c r="H159" i="16"/>
  <c r="H59" i="15"/>
  <c r="G59" i="15"/>
  <c r="I59" i="15"/>
  <c r="J74" i="15"/>
  <c r="H94" i="15"/>
  <c r="G94" i="15"/>
  <c r="I94" i="15"/>
  <c r="E22" i="18"/>
  <c r="D99" i="17"/>
  <c r="D160" i="15"/>
  <c r="D173" i="7"/>
  <c r="D179" i="7"/>
  <c r="D172" i="15"/>
  <c r="H102" i="16"/>
  <c r="G49" i="16"/>
  <c r="G33" i="15"/>
  <c r="H32" i="15"/>
  <c r="G32" i="15"/>
  <c r="G90" i="15" s="1"/>
  <c r="F90" i="15"/>
  <c r="D52" i="16"/>
  <c r="G52" i="15"/>
  <c r="G99" i="15"/>
  <c r="J95" i="3"/>
  <c r="J37" i="3"/>
  <c r="I40" i="15"/>
  <c r="I53" i="3"/>
  <c r="I96" i="3"/>
  <c r="E107" i="15"/>
  <c r="I107" i="15" s="1"/>
  <c r="D163" i="16"/>
  <c r="D163" i="17" s="1"/>
  <c r="J163" i="15"/>
  <c r="E92" i="7"/>
  <c r="F103" i="7"/>
  <c r="D167" i="17"/>
  <c r="D174" i="16"/>
  <c r="D170" i="17"/>
  <c r="D177" i="17" s="1"/>
  <c r="D177" i="16"/>
  <c r="F37" i="3"/>
  <c r="I97" i="3"/>
  <c r="E160" i="7"/>
  <c r="G159" i="3"/>
  <c r="F160" i="3"/>
  <c r="E164" i="7"/>
  <c r="F164" i="3"/>
  <c r="G167" i="7"/>
  <c r="E166" i="7"/>
  <c r="E173" i="7" s="1"/>
  <c r="H167" i="7"/>
  <c r="E174" i="7"/>
  <c r="E173" i="16"/>
  <c r="G173" i="16" s="1"/>
  <c r="G168" i="7"/>
  <c r="H168" i="7"/>
  <c r="E175" i="7"/>
  <c r="H168" i="16"/>
  <c r="G168" i="16"/>
  <c r="E175" i="16"/>
  <c r="G176" i="16"/>
  <c r="H176" i="16"/>
  <c r="G170" i="7"/>
  <c r="H170" i="7"/>
  <c r="E177" i="7"/>
  <c r="G170" i="16"/>
  <c r="E177" i="16"/>
  <c r="H170" i="16"/>
  <c r="G178" i="16"/>
  <c r="H178" i="16"/>
  <c r="H172" i="7"/>
  <c r="E179" i="7"/>
  <c r="G172" i="16"/>
  <c r="E179" i="16"/>
  <c r="H172" i="16"/>
  <c r="H177" i="17"/>
  <c r="G177" i="17"/>
  <c r="G171" i="17"/>
  <c r="H171" i="17"/>
  <c r="E178" i="17"/>
  <c r="D162" i="16"/>
  <c r="D162" i="17" s="1"/>
  <c r="J162" i="15"/>
  <c r="E32" i="13"/>
  <c r="F54" i="3"/>
  <c r="J96" i="3"/>
  <c r="I159" i="3"/>
  <c r="G167" i="15"/>
  <c r="E166" i="15"/>
  <c r="H167" i="15"/>
  <c r="E166" i="17"/>
  <c r="E173" i="17" s="1"/>
  <c r="H167" i="17"/>
  <c r="G167" i="17"/>
  <c r="E174" i="17"/>
  <c r="G169" i="15"/>
  <c r="H169" i="15"/>
  <c r="H169" i="17"/>
  <c r="E176" i="17"/>
  <c r="H176" i="17" s="1"/>
  <c r="G171" i="15"/>
  <c r="H171" i="15"/>
  <c r="E7" i="18" l="1"/>
  <c r="D90" i="17"/>
  <c r="F53" i="3"/>
  <c r="F96" i="3"/>
  <c r="F97" i="3" s="1"/>
  <c r="F122" i="3" s="1"/>
  <c r="H178" i="17"/>
  <c r="G178" i="17"/>
  <c r="G179" i="16"/>
  <c r="H179" i="16"/>
  <c r="H179" i="7"/>
  <c r="G179" i="7"/>
  <c r="G175" i="16"/>
  <c r="H175" i="16"/>
  <c r="H164" i="7"/>
  <c r="G164" i="7"/>
  <c r="F102" i="7"/>
  <c r="D103" i="7"/>
  <c r="D102" i="7" s="1"/>
  <c r="D107" i="7" s="1"/>
  <c r="H103" i="7"/>
  <c r="F51" i="7"/>
  <c r="G103" i="7"/>
  <c r="D160" i="16"/>
  <c r="D159" i="15"/>
  <c r="J159" i="15" s="1"/>
  <c r="J160" i="15"/>
  <c r="G22" i="18"/>
  <c r="F22" i="18"/>
  <c r="C122" i="16"/>
  <c r="C123" i="16"/>
  <c r="C124" i="16"/>
  <c r="G176" i="17"/>
  <c r="C122" i="17"/>
  <c r="C123" i="17"/>
  <c r="C124" i="17"/>
  <c r="E159" i="17"/>
  <c r="H160" i="17"/>
  <c r="G160" i="17"/>
  <c r="H160" i="15"/>
  <c r="E159" i="15"/>
  <c r="G160" i="15"/>
  <c r="G90" i="7"/>
  <c r="H90" i="7"/>
  <c r="I135" i="15"/>
  <c r="C141" i="15"/>
  <c r="H102" i="15"/>
  <c r="G102" i="15"/>
  <c r="F107" i="15"/>
  <c r="J168" i="15"/>
  <c r="D175" i="15"/>
  <c r="J175" i="15" s="1"/>
  <c r="D166" i="15"/>
  <c r="D168" i="16"/>
  <c r="D122" i="13"/>
  <c r="D123" i="13"/>
  <c r="D124" i="13"/>
  <c r="D125" i="15"/>
  <c r="J125" i="15" s="1"/>
  <c r="G141" i="15"/>
  <c r="J141" i="15"/>
  <c r="G48" i="16"/>
  <c r="G91" i="16" s="1"/>
  <c r="H48" i="16"/>
  <c r="H91" i="16" s="1"/>
  <c r="F91" i="16"/>
  <c r="F92" i="16" s="1"/>
  <c r="G50" i="7"/>
  <c r="F49" i="7"/>
  <c r="D50" i="7"/>
  <c r="H50" i="7"/>
  <c r="D50" i="15"/>
  <c r="H166" i="7"/>
  <c r="H173" i="16"/>
  <c r="J32" i="15"/>
  <c r="D90" i="15"/>
  <c r="E122" i="16"/>
  <c r="E123" i="16"/>
  <c r="E124" i="16"/>
  <c r="G32" i="16"/>
  <c r="G90" i="16" s="1"/>
  <c r="I19" i="20"/>
  <c r="H173" i="17"/>
  <c r="G173" i="17"/>
  <c r="H50" i="17"/>
  <c r="G50" i="17"/>
  <c r="H32" i="17"/>
  <c r="H166" i="15"/>
  <c r="E173" i="15"/>
  <c r="G166" i="15"/>
  <c r="H174" i="17"/>
  <c r="G174" i="17"/>
  <c r="G177" i="16"/>
  <c r="H177" i="16"/>
  <c r="H177" i="7"/>
  <c r="G177" i="7"/>
  <c r="H175" i="7"/>
  <c r="G175" i="7"/>
  <c r="H174" i="7"/>
  <c r="G174" i="7"/>
  <c r="F159" i="3"/>
  <c r="H160" i="7"/>
  <c r="E159" i="7"/>
  <c r="G160" i="7"/>
  <c r="D174" i="17"/>
  <c r="J97" i="3"/>
  <c r="D172" i="16"/>
  <c r="J172" i="15"/>
  <c r="D179" i="15"/>
  <c r="J179" i="15" s="1"/>
  <c r="F103" i="17"/>
  <c r="G159" i="17"/>
  <c r="H159" i="17"/>
  <c r="G32" i="17"/>
  <c r="G90" i="17" s="1"/>
  <c r="D103" i="15"/>
  <c r="D51" i="15"/>
  <c r="H51" i="15"/>
  <c r="G51" i="15"/>
  <c r="G49" i="15" s="1"/>
  <c r="F49" i="15"/>
  <c r="G165" i="7"/>
  <c r="H165" i="7"/>
  <c r="H163" i="7"/>
  <c r="G163" i="7"/>
  <c r="H161" i="7"/>
  <c r="G161" i="7"/>
  <c r="F122" i="13"/>
  <c r="F123" i="13"/>
  <c r="F124" i="13"/>
  <c r="E48" i="15"/>
  <c r="I49" i="15"/>
  <c r="G166" i="7"/>
  <c r="H173" i="7"/>
  <c r="G173" i="7"/>
  <c r="E90" i="15"/>
  <c r="I32" i="15"/>
  <c r="G141" i="16"/>
  <c r="H141" i="16"/>
  <c r="H32" i="16"/>
  <c r="H90" i="16" s="1"/>
  <c r="H166" i="17"/>
  <c r="G166" i="17"/>
  <c r="C122" i="15"/>
  <c r="C124" i="15"/>
  <c r="I124" i="15" s="1"/>
  <c r="C123" i="15"/>
  <c r="I123" i="15" s="1"/>
  <c r="H90" i="17"/>
  <c r="F7" i="20"/>
  <c r="G7" i="20"/>
  <c r="G92" i="16" l="1"/>
  <c r="F122" i="16"/>
  <c r="F123" i="16"/>
  <c r="F124" i="16"/>
  <c r="J51" i="15"/>
  <c r="D51" i="16"/>
  <c r="H159" i="7"/>
  <c r="G159" i="7"/>
  <c r="H173" i="15"/>
  <c r="G173" i="15"/>
  <c r="F48" i="7"/>
  <c r="H49" i="7"/>
  <c r="F91" i="7"/>
  <c r="J166" i="15"/>
  <c r="D173" i="15"/>
  <c r="J173" i="15" s="1"/>
  <c r="C125" i="15"/>
  <c r="I125" i="15" s="1"/>
  <c r="I141" i="15"/>
  <c r="H159" i="15"/>
  <c r="G159" i="15"/>
  <c r="D159" i="16"/>
  <c r="D160" i="17"/>
  <c r="D159" i="17" s="1"/>
  <c r="G51" i="7"/>
  <c r="D51" i="7"/>
  <c r="H51" i="7"/>
  <c r="I90" i="15"/>
  <c r="E91" i="15"/>
  <c r="I91" i="15" s="1"/>
  <c r="I48" i="15"/>
  <c r="F48" i="15"/>
  <c r="H49" i="15"/>
  <c r="D102" i="15"/>
  <c r="J103" i="15"/>
  <c r="D103" i="16"/>
  <c r="D102" i="16" s="1"/>
  <c r="D107" i="16" s="1"/>
  <c r="F51" i="17"/>
  <c r="F102" i="17"/>
  <c r="H103" i="17"/>
  <c r="G103" i="17"/>
  <c r="D172" i="17"/>
  <c r="D179" i="17" s="1"/>
  <c r="D179" i="16"/>
  <c r="H90" i="15"/>
  <c r="J19" i="20"/>
  <c r="K19" i="20"/>
  <c r="J90" i="15"/>
  <c r="D49" i="15"/>
  <c r="J50" i="15"/>
  <c r="D50" i="16"/>
  <c r="D49" i="7"/>
  <c r="G49" i="7"/>
  <c r="D175" i="16"/>
  <c r="D168" i="17"/>
  <c r="D166" i="16"/>
  <c r="D173" i="16" s="1"/>
  <c r="G107" i="15"/>
  <c r="H107" i="15"/>
  <c r="H102" i="7"/>
  <c r="G102" i="7"/>
  <c r="F107" i="7"/>
  <c r="G7" i="18"/>
  <c r="F7" i="18"/>
  <c r="G107" i="7" l="1"/>
  <c r="H107" i="7"/>
  <c r="H102" i="17"/>
  <c r="F107" i="17"/>
  <c r="G102" i="17"/>
  <c r="J102" i="15"/>
  <c r="D107" i="15"/>
  <c r="J107" i="15" s="1"/>
  <c r="H48" i="15"/>
  <c r="G48" i="15"/>
  <c r="G91" i="15" s="1"/>
  <c r="F91" i="15"/>
  <c r="D175" i="17"/>
  <c r="D166" i="17"/>
  <c r="D173" i="17" s="1"/>
  <c r="I19" i="18" s="1"/>
  <c r="D49" i="16"/>
  <c r="D48" i="16" s="1"/>
  <c r="D91" i="16" s="1"/>
  <c r="D92" i="16" s="1"/>
  <c r="D50" i="17"/>
  <c r="D48" i="15"/>
  <c r="J49" i="15"/>
  <c r="D48" i="7"/>
  <c r="D91" i="7"/>
  <c r="D92" i="7" s="1"/>
  <c r="D103" i="17"/>
  <c r="D102" i="17" s="1"/>
  <c r="D107" i="17" s="1"/>
  <c r="D51" i="17"/>
  <c r="H51" i="17"/>
  <c r="G51" i="17"/>
  <c r="G49" i="17" s="1"/>
  <c r="F49" i="17"/>
  <c r="E92" i="15"/>
  <c r="G91" i="7"/>
  <c r="H91" i="7"/>
  <c r="F92" i="7"/>
  <c r="G92" i="7" s="1"/>
  <c r="G48" i="7"/>
  <c r="H48" i="7"/>
  <c r="D49" i="17" l="1"/>
  <c r="D48" i="17" s="1"/>
  <c r="K19" i="18"/>
  <c r="J19" i="18"/>
  <c r="H91" i="15"/>
  <c r="F92" i="15"/>
  <c r="G107" i="17"/>
  <c r="H107" i="17"/>
  <c r="E122" i="15"/>
  <c r="I92" i="15"/>
  <c r="Q92" i="15" s="1"/>
  <c r="F48" i="17"/>
  <c r="H49" i="17"/>
  <c r="J48" i="15"/>
  <c r="D91" i="15"/>
  <c r="D122" i="16"/>
  <c r="D123" i="16"/>
  <c r="D124" i="16"/>
  <c r="H48" i="17" l="1"/>
  <c r="I7" i="20"/>
  <c r="G48" i="17"/>
  <c r="G91" i="17" s="1"/>
  <c r="F91" i="17"/>
  <c r="J91" i="15"/>
  <c r="D92" i="15"/>
  <c r="G92" i="15"/>
  <c r="F124" i="15"/>
  <c r="F122" i="15"/>
  <c r="F123" i="15"/>
  <c r="I7" i="18"/>
  <c r="D91" i="17"/>
  <c r="D92" i="17" s="1"/>
  <c r="D124" i="17" l="1"/>
  <c r="D122" i="17"/>
  <c r="D123" i="17"/>
  <c r="J92" i="15"/>
  <c r="R92" i="15" s="1"/>
  <c r="D123" i="15"/>
  <c r="J123" i="15" s="1"/>
  <c r="D124" i="15"/>
  <c r="J124" i="15" s="1"/>
  <c r="D122" i="15"/>
  <c r="J122" i="15" s="1"/>
  <c r="H91" i="17"/>
  <c r="F92" i="17"/>
  <c r="J7" i="20"/>
  <c r="K7" i="20"/>
  <c r="K7" i="18"/>
  <c r="J7" i="18"/>
  <c r="I11" i="20" l="1"/>
  <c r="G92" i="17"/>
  <c r="F123" i="17"/>
  <c r="F124" i="17"/>
  <c r="F122" i="17"/>
  <c r="K11" i="20" l="1"/>
  <c r="J11" i="20"/>
</calcChain>
</file>

<file path=xl/comments1.xml><?xml version="1.0" encoding="utf-8"?>
<comments xmlns="http://schemas.openxmlformats.org/spreadsheetml/2006/main">
  <authors>
    <author>userlocalM013</author>
  </authors>
  <commentList>
    <comment ref="F130" authorId="0" shapeId="0">
      <text>
        <r>
          <rPr>
            <b/>
            <sz val="9"/>
            <color indexed="81"/>
            <rFont val="Tahoma"/>
            <family val="2"/>
          </rPr>
          <t>userlocalM013:</t>
        </r>
        <r>
          <rPr>
            <sz val="9"/>
            <color indexed="81"/>
            <rFont val="Tahoma"/>
            <family val="2"/>
          </rPr>
          <t xml:space="preserve">
1011 стр баланса
</t>
        </r>
      </text>
    </comment>
    <comment ref="F131" authorId="0" shapeId="0">
      <text>
        <r>
          <rPr>
            <b/>
            <sz val="9"/>
            <color indexed="81"/>
            <rFont val="Tahoma"/>
            <family val="2"/>
          </rPr>
          <t>userlocalM013:</t>
        </r>
        <r>
          <rPr>
            <sz val="9"/>
            <color indexed="81"/>
            <rFont val="Tahoma"/>
            <family val="2"/>
          </rPr>
          <t xml:space="preserve">
1012 -строка баланса
</t>
        </r>
      </text>
    </comment>
  </commentList>
</comments>
</file>

<file path=xl/comments2.xml><?xml version="1.0" encoding="utf-8"?>
<comments xmlns="http://schemas.openxmlformats.org/spreadsheetml/2006/main">
  <authors>
    <author>userlocalM013</author>
  </authors>
  <commentList>
    <comment ref="F34" authorId="0" shapeId="0">
      <text>
        <r>
          <rPr>
            <b/>
            <sz val="9"/>
            <color indexed="81"/>
            <rFont val="Tahoma"/>
            <family val="2"/>
          </rPr>
          <t>userlocalM013:</t>
        </r>
        <r>
          <rPr>
            <sz val="9"/>
            <color indexed="81"/>
            <rFont val="Tahoma"/>
            <family val="2"/>
          </rPr>
          <t xml:space="preserve">
15,9 не включила інтерана за 08,09
</t>
        </r>
      </text>
    </comment>
    <comment ref="F41" authorId="0" shapeId="0">
      <text>
        <r>
          <rPr>
            <b/>
            <sz val="9"/>
            <color indexed="81"/>
            <rFont val="Tahoma"/>
            <family val="2"/>
          </rPr>
          <t>userlocalM013:</t>
        </r>
        <r>
          <rPr>
            <sz val="9"/>
            <color indexed="81"/>
            <rFont val="Tahoma"/>
            <family val="2"/>
          </rPr>
          <t xml:space="preserve">
= стр.2240 баланса
</t>
        </r>
      </text>
    </comment>
    <comment ref="F42" authorId="0" shapeId="0">
      <text>
        <r>
          <rPr>
            <b/>
            <sz val="9"/>
            <color indexed="81"/>
            <rFont val="Tahoma"/>
            <family val="2"/>
          </rPr>
          <t>userlocalM013:</t>
        </r>
        <r>
          <rPr>
            <sz val="9"/>
            <color indexed="81"/>
            <rFont val="Tahoma"/>
            <family val="2"/>
          </rPr>
          <t xml:space="preserve">
метлом
</t>
        </r>
      </text>
    </comment>
    <comment ref="F44" authorId="0" shapeId="0">
      <text>
        <r>
          <rPr>
            <b/>
            <sz val="9"/>
            <color indexed="81"/>
            <rFont val="Tahoma"/>
            <family val="2"/>
          </rPr>
          <t>userlocalM013:</t>
        </r>
        <r>
          <rPr>
            <sz val="9"/>
            <color indexed="81"/>
            <rFont val="Tahoma"/>
            <family val="2"/>
          </rPr>
          <t xml:space="preserve">
благодійка
</t>
        </r>
      </text>
    </comment>
    <comment ref="F46" authorId="0" shapeId="0">
      <text>
        <r>
          <rPr>
            <b/>
            <sz val="9"/>
            <color indexed="81"/>
            <rFont val="Tahoma"/>
            <family val="2"/>
          </rPr>
          <t>userlocalM013:</t>
        </r>
        <r>
          <rPr>
            <sz val="9"/>
            <color indexed="81"/>
            <rFont val="Tahoma"/>
            <family val="2"/>
          </rPr>
          <t xml:space="preserve">
касові комуналка</t>
        </r>
      </text>
    </comment>
    <comment ref="F95" authorId="0" shapeId="0">
      <text>
        <r>
          <rPr>
            <b/>
            <sz val="9"/>
            <color indexed="81"/>
            <rFont val="Tahoma"/>
            <family val="2"/>
          </rPr>
          <t>userlocalM013:
сплата!!! Тому беремо з медка 3 місяці: попередній звітному кварталу, 1 і 2 місяць квартала, строка 1.1. декларації</t>
        </r>
      </text>
    </comment>
    <comment ref="F133" authorId="0" shapeId="0">
      <text>
        <r>
          <rPr>
            <b/>
            <sz val="9"/>
            <color indexed="81"/>
            <rFont val="Tahoma"/>
            <family val="2"/>
          </rPr>
          <t>userlocalM013:</t>
        </r>
        <r>
          <rPr>
            <sz val="9"/>
            <color indexed="81"/>
            <rFont val="Tahoma"/>
            <family val="2"/>
          </rPr>
          <t xml:space="preserve">
=1165+1100
</t>
        </r>
      </text>
    </comment>
    <comment ref="F134" authorId="0" shapeId="0">
      <text>
        <r>
          <rPr>
            <b/>
            <sz val="9"/>
            <color indexed="81"/>
            <rFont val="Tahoma"/>
            <family val="2"/>
          </rPr>
          <t>userlocalM013:</t>
        </r>
        <r>
          <rPr>
            <sz val="9"/>
            <color indexed="81"/>
            <rFont val="Tahoma"/>
            <family val="2"/>
          </rPr>
          <t xml:space="preserve">
=1125+1135</t>
        </r>
      </text>
    </comment>
    <comment ref="F136" authorId="0" shapeId="0">
      <text>
        <r>
          <rPr>
            <b/>
            <sz val="9"/>
            <color indexed="81"/>
            <rFont val="Tahoma"/>
            <family val="2"/>
          </rPr>
          <t>userlocalM013:</t>
        </r>
        <r>
          <rPr>
            <sz val="9"/>
            <color indexed="81"/>
            <rFont val="Tahoma"/>
            <family val="2"/>
          </rPr>
          <t xml:space="preserve">
=1595</t>
        </r>
      </text>
    </comment>
    <comment ref="F137" authorId="0" shapeId="0">
      <text>
        <r>
          <rPr>
            <b/>
            <sz val="9"/>
            <color indexed="81"/>
            <rFont val="Tahoma"/>
            <family val="2"/>
          </rPr>
          <t>userlocalM013:</t>
        </r>
        <r>
          <rPr>
            <sz val="9"/>
            <color indexed="81"/>
            <rFont val="Tahoma"/>
            <family val="2"/>
          </rPr>
          <t xml:space="preserve">
=1695
</t>
        </r>
      </text>
    </comment>
  </commentList>
</comments>
</file>

<file path=xl/sharedStrings.xml><?xml version="1.0" encoding="utf-8"?>
<sst xmlns="http://schemas.openxmlformats.org/spreadsheetml/2006/main" count="1669" uniqueCount="323">
  <si>
    <t>Додаток 2</t>
  </si>
  <si>
    <t>до Порядку  складання, затвердження фінансових планів комунальних некомерційних унітарних підприємств та Закладів (крім розпорядників бюджетних коштів), що належать до спільної власності територіальних громад сіл, селищ, міст Сумської області, та контролю за їх виконанням</t>
  </si>
  <si>
    <t>Рік</t>
  </si>
  <si>
    <t>Коди</t>
  </si>
  <si>
    <t xml:space="preserve">Підприємство  </t>
  </si>
  <si>
    <t>Комунальне некомерційне підприємство Сумської обласної ради «Сумська обласна клінічна стоматологічна поліклініка»</t>
  </si>
  <si>
    <t xml:space="preserve">за ЄДРПОУ </t>
  </si>
  <si>
    <t>05481010</t>
  </si>
  <si>
    <t xml:space="preserve">Організаційно-правова форма </t>
  </si>
  <si>
    <t xml:space="preserve">комунальне некомерційне підприємство </t>
  </si>
  <si>
    <t>за КОПФГ</t>
  </si>
  <si>
    <t>Територія</t>
  </si>
  <si>
    <t>за КОАТУУ</t>
  </si>
  <si>
    <r>
      <rPr>
        <sz val="14"/>
        <rFont val="Times New Roman"/>
        <family val="1"/>
        <charset val="204"/>
      </rPr>
      <t xml:space="preserve">Орган управління  </t>
    </r>
    <r>
      <rPr>
        <b/>
        <i/>
        <sz val="14"/>
        <rFont val="Times New Roman"/>
        <family val="1"/>
        <charset val="204"/>
      </rPr>
      <t xml:space="preserve"> </t>
    </r>
  </si>
  <si>
    <t>Сумська обласна рада</t>
  </si>
  <si>
    <t>за СПОДУ</t>
  </si>
  <si>
    <t xml:space="preserve">Галузь     </t>
  </si>
  <si>
    <t>за ЗКГНГ</t>
  </si>
  <si>
    <t xml:space="preserve">Вид економічної діяльності    </t>
  </si>
  <si>
    <t xml:space="preserve">за  КВЕД  </t>
  </si>
  <si>
    <t>Одиниця виміру, тис. грн</t>
  </si>
  <si>
    <t>Стандарти звітності П(с)БОУ</t>
  </si>
  <si>
    <t>Форма власності</t>
  </si>
  <si>
    <t>комунальна</t>
  </si>
  <si>
    <t>Стандарти звітності МСФЗ</t>
  </si>
  <si>
    <t>Середньооблікова кількість штатних працівників</t>
  </si>
  <si>
    <t xml:space="preserve">Місцезнаходження  </t>
  </si>
  <si>
    <t>40022, м.Суми, вул. Привокзальна,29</t>
  </si>
  <si>
    <t xml:space="preserve">Телефон </t>
  </si>
  <si>
    <t>66 30 31</t>
  </si>
  <si>
    <t xml:space="preserve">Прізвище та ініціали керівника  </t>
  </si>
  <si>
    <t>Савченко В.В.</t>
  </si>
  <si>
    <t>ЗВІТ</t>
  </si>
  <si>
    <t xml:space="preserve">ПРО ВИКОНАННЯ ФІНАНСОВОГО ПЛАНУ НЕКОМЕРЦІЙНОГО ПІДПРИЄМСТВА </t>
  </si>
  <si>
    <t>(квартал, рік)</t>
  </si>
  <si>
    <t>Основні фінансові показники</t>
  </si>
  <si>
    <t>Найменування показника</t>
  </si>
  <si>
    <t xml:space="preserve">Код рядка </t>
  </si>
  <si>
    <t>Факт наростаючим підсумком з початку року</t>
  </si>
  <si>
    <t>минулий рік</t>
  </si>
  <si>
    <t>поточний рік</t>
  </si>
  <si>
    <t xml:space="preserve">план </t>
  </si>
  <si>
    <t>факт</t>
  </si>
  <si>
    <t>відхилення,  +/–</t>
  </si>
  <si>
    <t>виконання, %</t>
  </si>
  <si>
    <t>І. Формування фінансових результатів</t>
  </si>
  <si>
    <t>ДОХОДИ</t>
  </si>
  <si>
    <t>Дохід від надання послуг, в т.ч.:</t>
  </si>
  <si>
    <t>від послуг за договором з НСЗУ</t>
  </si>
  <si>
    <t>від інших платних послуг, що надаються згідно з основною діяльністю КНП</t>
  </si>
  <si>
    <t>Дохід з місцевого бюджету від фінансової підтримки</t>
  </si>
  <si>
    <t xml:space="preserve">Дохід з місцевого бюджету за цільовими програмами </t>
  </si>
  <si>
    <t xml:space="preserve">назва програми </t>
  </si>
  <si>
    <t>Інші доходи, в т. ч.:</t>
  </si>
  <si>
    <t>дохід від операційної оренди активів</t>
  </si>
  <si>
    <t>від додаткової (господарської) діяльності</t>
  </si>
  <si>
    <t>дохід від реалізації активів (крім нерухомого майна)</t>
  </si>
  <si>
    <t>від отриманих благодійних внесків, грантів та дарунків</t>
  </si>
  <si>
    <r>
      <rPr>
        <sz val="14"/>
        <rFont val="Times New Roman"/>
        <family val="1"/>
        <charset val="204"/>
      </rPr>
      <t xml:space="preserve">інші доходи </t>
    </r>
    <r>
      <rPr>
        <i/>
        <sz val="14"/>
        <rFont val="Times New Roman"/>
        <family val="1"/>
        <charset val="204"/>
      </rPr>
      <t>(розшифрувати)</t>
    </r>
  </si>
  <si>
    <t>- дотації із місцевого бюджета</t>
  </si>
  <si>
    <t>1045/1</t>
  </si>
  <si>
    <t>1045/2</t>
  </si>
  <si>
    <t>ВИТРАТИ</t>
  </si>
  <si>
    <t>Поточні витрати</t>
  </si>
  <si>
    <t>Заробітна плата</t>
  </si>
  <si>
    <t>Нарахування на оплату праці</t>
  </si>
  <si>
    <t>Використання товарів і послуг</t>
  </si>
  <si>
    <t>Предмети, матеріали, обладнання та інвентар</t>
  </si>
  <si>
    <t>Медикаменти та перев'язувальний матеріал</t>
  </si>
  <si>
    <t>Продукти харчування</t>
  </si>
  <si>
    <t>Оплата послуг (крім комунальних)</t>
  </si>
  <si>
    <t>Витрати на відрядження</t>
  </si>
  <si>
    <t>Витрати та заходи соціального призначення</t>
  </si>
  <si>
    <t>Оплата комунальних послуг та енергоносіїв</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</si>
  <si>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</si>
  <si>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</si>
  <si>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</si>
  <si>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</si>
  <si>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</si>
  <si>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Оплата енергосервісу</t>
  </si>
  <si>
    <t>Дослідження і розробки, виконання державних (регіональних) програм</t>
  </si>
  <si>
    <t>Обслуговування боргових зобов'язань</t>
  </si>
  <si>
    <t>Соціальне забезпечення</t>
  </si>
  <si>
    <t>Виплата пенсій і допомоги</t>
  </si>
  <si>
    <t>Стипендії</t>
  </si>
  <si>
    <r>
      <rPr>
        <sz val="14"/>
        <rFont val="Times New Roman"/>
        <family val="1"/>
        <charset val="204"/>
      </rPr>
      <t>Інші виплати населенню (</t>
    </r>
    <r>
      <rPr>
        <i/>
        <sz val="14"/>
        <rFont val="Times New Roman"/>
        <family val="1"/>
        <charset val="204"/>
      </rPr>
      <t>розшифрувати)</t>
    </r>
  </si>
  <si>
    <t>Амортизація</t>
  </si>
  <si>
    <r>
      <rPr>
        <sz val="14"/>
        <rFont val="Times New Roman"/>
        <family val="1"/>
        <charset val="204"/>
      </rPr>
      <t xml:space="preserve">Інші поточні витрати </t>
    </r>
    <r>
      <rPr>
        <i/>
        <sz val="14"/>
        <rFont val="Times New Roman"/>
        <family val="1"/>
        <charset val="204"/>
      </rPr>
      <t>(розшифрувати)</t>
    </r>
  </si>
  <si>
    <t>Капітальні витрати</t>
  </si>
  <si>
    <t>Придбання обладнання та предметів довгострокового використання</t>
  </si>
  <si>
    <t>Капітальне будівництво (придбання)</t>
  </si>
  <si>
    <t>Капітальне будівництво (придбання) житла</t>
  </si>
  <si>
    <t>Капітальне будівництво (придбання) інших об'єктів</t>
  </si>
  <si>
    <t>Капітальний ремонт</t>
  </si>
  <si>
    <t>Капітальний ремонт житлового фонду (приміщень)</t>
  </si>
  <si>
    <t>Капітальний ремонт інших об'єктів</t>
  </si>
  <si>
    <t xml:space="preserve">Реконструкція та реставрація </t>
  </si>
  <si>
    <t>Реконстукція житлового фонду (приміщень)</t>
  </si>
  <si>
    <t>Реконструкція та реставрація інших об'єктів</t>
  </si>
  <si>
    <t>Реставрація пам'яток культури, історії та архітектури</t>
  </si>
  <si>
    <t>Створення державних запасів та резервів</t>
  </si>
  <si>
    <t>Придбання землі та нематеріальних активів</t>
  </si>
  <si>
    <t>Інші витрати (розшифрувати)</t>
  </si>
  <si>
    <t>УСЬОГО ДОХОДИ</t>
  </si>
  <si>
    <t>УСЬОГО ВИТРАТИ</t>
  </si>
  <si>
    <t>Фінансовий результат</t>
  </si>
  <si>
    <t>IІ. Розрахунки з бюджетом</t>
  </si>
  <si>
    <t>Сплата податків та зборів до Державного бюджету України (податкові платежі), усього, у тому числі:</t>
  </si>
  <si>
    <t>податок на додану вартість, що підлягає сплаті до бюджету за підсумками звітного періоду</t>
  </si>
  <si>
    <t>податок на додану вартість, що підлягає відшкодуванню з бюджету за підсумками звітного періоду</t>
  </si>
  <si>
    <t>рентна плата за транспортування</t>
  </si>
  <si>
    <t>рентна плата за користування надрами</t>
  </si>
  <si>
    <t>Сплата податків та зборів до місцевих бюджетів (податкові платежі)</t>
  </si>
  <si>
    <t>податок на доходи фізичних осіб</t>
  </si>
  <si>
    <t>податок на землю</t>
  </si>
  <si>
    <t>Інші податки, збори та платежі на користь держави,
усього, у тому числі:</t>
  </si>
  <si>
    <t xml:space="preserve">єдиний внесок на загальнообов'язкове державне соціальне страхування               </t>
  </si>
  <si>
    <t>військовий збір</t>
  </si>
  <si>
    <t>частка орендної плати, що перераховується до місцевого бюджету</t>
  </si>
  <si>
    <t xml:space="preserve">Усього виплат на користь держави </t>
  </si>
  <si>
    <t>ІІІ. Капітальні інвестиції</t>
  </si>
  <si>
    <t>Капітальні інвестиції, усього, у тому числі:</t>
  </si>
  <si>
    <t>капітальне будівництво</t>
  </si>
  <si>
    <t>придбання (виготовлення) основних засобів</t>
  </si>
  <si>
    <t>придбання (виготовлення) інших необоротних матеріальних активів</t>
  </si>
  <si>
    <t>придбання (створення) нематеріальних активів</t>
  </si>
  <si>
    <t>модернізація, модифікація (добудова, дообладнання, реконструкція) основних засобів</t>
  </si>
  <si>
    <t>капітальний ремонт</t>
  </si>
  <si>
    <t>Джерела капітальних інвестицій, усього, у тому числі:</t>
  </si>
  <si>
    <t>залучені кредитні кошти</t>
  </si>
  <si>
    <t>8100/1</t>
  </si>
  <si>
    <t>бюджетне фінансування</t>
  </si>
  <si>
    <t>8100/2</t>
  </si>
  <si>
    <t>власні кошти</t>
  </si>
  <si>
    <t>8100/3</t>
  </si>
  <si>
    <t>інші джерела</t>
  </si>
  <si>
    <t>8100/4</t>
  </si>
  <si>
    <t>ІV. Коефіцієнтний аналіз</t>
  </si>
  <si>
    <t>Рентабельність діяльності</t>
  </si>
  <si>
    <t>Рентабельність активів</t>
  </si>
  <si>
    <t>Рентабельність власного капіталу</t>
  </si>
  <si>
    <t>Коефіцієнт фінансової стійкості</t>
  </si>
  <si>
    <t>Коефіцієнт зносу основних засобів</t>
  </si>
  <si>
    <t>V. Звіт про фінансовий стан</t>
  </si>
  <si>
    <t>Необоротні активи, усього, у тому числі:</t>
  </si>
  <si>
    <t>Основні засоби</t>
  </si>
  <si>
    <t>первісна вартість</t>
  </si>
  <si>
    <t>знос</t>
  </si>
  <si>
    <t>Оборотні активи, усього, у тому числі:</t>
  </si>
  <si>
    <t>Гроші та їх еквіваленти</t>
  </si>
  <si>
    <t>дебіторська заборгованість</t>
  </si>
  <si>
    <t>Усього активи</t>
  </si>
  <si>
    <t>Довгострокові зобов'язання і забезпечення</t>
  </si>
  <si>
    <t>Поточні зобов'язання і забезпечення</t>
  </si>
  <si>
    <t>Усього зобов'язання і забезпечення</t>
  </si>
  <si>
    <t>У тому числі державні гранти і субсидії</t>
  </si>
  <si>
    <t>У тому числі фінансові запозичення</t>
  </si>
  <si>
    <t>Власний капітал</t>
  </si>
  <si>
    <t>VI. Кредитна політика</t>
  </si>
  <si>
    <t>Отримано залучених коштів, усього, у тому числі:</t>
  </si>
  <si>
    <t>11000</t>
  </si>
  <si>
    <t>довгострокові зобов'язання</t>
  </si>
  <si>
    <t>11001</t>
  </si>
  <si>
    <t>короткострокові зобов'язання</t>
  </si>
  <si>
    <t>11002</t>
  </si>
  <si>
    <t>інші фінансові зобов'язання</t>
  </si>
  <si>
    <t>11003</t>
  </si>
  <si>
    <t>Повернено залучених коштів, усього, у тому числі:</t>
  </si>
  <si>
    <t>11010</t>
  </si>
  <si>
    <t>11011</t>
  </si>
  <si>
    <t>11012</t>
  </si>
  <si>
    <t>11013</t>
  </si>
  <si>
    <t>VII. Дані про персонал та витрати на оплату праці</t>
  </si>
  <si>
    <r>
      <rPr>
        <b/>
        <sz val="14"/>
        <rFont val="Times New Roman"/>
        <family val="1"/>
        <charset val="204"/>
      </rPr>
      <t xml:space="preserve">Середня кількість працівників </t>
    </r>
    <r>
      <rPr>
        <sz val="14"/>
        <rFont val="Times New Roman"/>
        <family val="1"/>
        <charset val="204"/>
      </rPr>
      <t>(штатних працівників, зовнішніх сумісників та працівників, що працюють за цивільно-правовими договорами)</t>
    </r>
    <r>
      <rPr>
        <b/>
        <sz val="14"/>
        <rFont val="Times New Roman"/>
        <family val="1"/>
        <charset val="204"/>
      </rPr>
      <t>, у тому числі:</t>
    </r>
  </si>
  <si>
    <t>12000</t>
  </si>
  <si>
    <t>директор</t>
  </si>
  <si>
    <t>12001</t>
  </si>
  <si>
    <t>адміністративно-управлінський персонал</t>
  </si>
  <si>
    <t>12002</t>
  </si>
  <si>
    <t>лікарі</t>
  </si>
  <si>
    <t>12003</t>
  </si>
  <si>
    <t>середній медичний персонал</t>
  </si>
  <si>
    <t>12004</t>
  </si>
  <si>
    <t>молодший медичний персонал</t>
  </si>
  <si>
    <t>12005</t>
  </si>
  <si>
    <t>інші працівники</t>
  </si>
  <si>
    <t>12006</t>
  </si>
  <si>
    <t>Фонд оплати праці, у тому числі:</t>
  </si>
  <si>
    <t>13000</t>
  </si>
  <si>
    <t>13001</t>
  </si>
  <si>
    <t>13002</t>
  </si>
  <si>
    <t>13003</t>
  </si>
  <si>
    <t>13004</t>
  </si>
  <si>
    <t>13005</t>
  </si>
  <si>
    <t>13006</t>
  </si>
  <si>
    <t>Витрати на оплату праці</t>
  </si>
  <si>
    <t>14000</t>
  </si>
  <si>
    <t>14001</t>
  </si>
  <si>
    <t>14002</t>
  </si>
  <si>
    <t>14003</t>
  </si>
  <si>
    <t>14004</t>
  </si>
  <si>
    <t>14005</t>
  </si>
  <si>
    <t>14006</t>
  </si>
  <si>
    <t>Середньомісячні витрати на оплату праці одного працівника (гривень), усього, у тому числі:</t>
  </si>
  <si>
    <t>15000</t>
  </si>
  <si>
    <t>15001</t>
  </si>
  <si>
    <t>15002</t>
  </si>
  <si>
    <t>15003</t>
  </si>
  <si>
    <t>15004</t>
  </si>
  <si>
    <t>15005</t>
  </si>
  <si>
    <t>15006</t>
  </si>
  <si>
    <t>Сума простроченої заборгованості із заробітної плати на кінець звітного періоду</t>
  </si>
  <si>
    <t>16000</t>
  </si>
  <si>
    <t>_____________________________</t>
  </si>
  <si>
    <t>(підпис)</t>
  </si>
  <si>
    <t xml:space="preserve">         (ініціали, прізвище)    </t>
  </si>
  <si>
    <t>Додаток 1</t>
  </si>
  <si>
    <t>до Порядку складання, затвердження фінансових планів комунальних некомерційних унітарних підприємств та Закладів (крім розпорядників бюджетних коштів), що належать до спільної власності територіальних громад сіл, селищ, міст Сумської області, та контролю за їх виконанням</t>
  </si>
  <si>
    <t xml:space="preserve">ЗАТВЕРДЖЕНО  </t>
  </si>
  <si>
    <t>Заступник начальника  Управління  майном</t>
  </si>
  <si>
    <t>(посада, ініціали  та прізвище керівника органу</t>
  </si>
  <si>
    <t>Сумської обласної ради</t>
  </si>
  <si>
    <t xml:space="preserve"> управління підприємством </t>
  </si>
  <si>
    <t>Козачок І.В.</t>
  </si>
  <si>
    <t>М. П. (посада, П.І.Б., дата, підпис)</t>
  </si>
  <si>
    <t xml:space="preserve">Назва підприємства  </t>
  </si>
  <si>
    <t>Комунальне  некомерційне підприємство Сумської обласної ради"Сумська обласна  клінічна стоматологічна поліклініка"</t>
  </si>
  <si>
    <t xml:space="preserve">комунальне  некомерційне підприємство </t>
  </si>
  <si>
    <t>комунальне</t>
  </si>
  <si>
    <t>40022 м.Суми, вул. Привокзальна,29</t>
  </si>
  <si>
    <t>ФІНАНСОВИЙ ПЛАН НЕКОМЕРЦІЙНОГО ПІДПРИЄМСТВА  на 2022 рік</t>
  </si>
  <si>
    <t xml:space="preserve">Факт минулого року                    </t>
  </si>
  <si>
    <t xml:space="preserve">Фінансовий план поточного року          </t>
  </si>
  <si>
    <t xml:space="preserve">Прогноз на поточний рік                   </t>
  </si>
  <si>
    <t xml:space="preserve">Плановий рік                                </t>
  </si>
  <si>
    <t>в тому числі по кварталах</t>
  </si>
  <si>
    <t>I</t>
  </si>
  <si>
    <t>ІІ</t>
  </si>
  <si>
    <t>ІІІ</t>
  </si>
  <si>
    <t>IV</t>
  </si>
  <si>
    <t xml:space="preserve">інші податки, збори та платежі на користь держави,
</t>
  </si>
  <si>
    <t>IІІ. Капітальні інвестиції</t>
  </si>
  <si>
    <t>Капітальні інвестиції, усього,
у тому числі:</t>
  </si>
  <si>
    <t>Х</t>
  </si>
  <si>
    <t>основні засоби</t>
  </si>
  <si>
    <t>гроші та їх еквіваленти</t>
  </si>
  <si>
    <t>VІ. Кредитна політика</t>
  </si>
  <si>
    <t>Середньомісячні витрати на оплату праці одного працівника (грн), усього, у тому числі:</t>
  </si>
  <si>
    <r>
      <rPr>
        <b/>
        <sz val="14"/>
        <rFont val="Times New Roman"/>
        <family val="1"/>
        <charset val="204"/>
      </rPr>
      <t>Керівник</t>
    </r>
    <r>
      <rPr>
        <sz val="14"/>
        <rFont val="Times New Roman"/>
        <family val="1"/>
        <charset val="204"/>
      </rPr>
      <t xml:space="preserve"> _</t>
    </r>
  </si>
  <si>
    <t>Володимир САВЧЕНКО</t>
  </si>
  <si>
    <t>інші податки, збори та платежі на користь держави</t>
  </si>
  <si>
    <t xml:space="preserve">єдиний внесок на загальнообов'язкове державне соціальне страхування            </t>
  </si>
  <si>
    <t>Директор</t>
  </si>
  <si>
    <r>
      <t xml:space="preserve">Орган управління  </t>
    </r>
    <r>
      <rPr>
        <b/>
        <i/>
        <sz val="12"/>
        <rFont val="Times New Roman"/>
        <family val="1"/>
        <charset val="204"/>
      </rPr>
      <t xml:space="preserve"> </t>
    </r>
  </si>
  <si>
    <r>
      <t xml:space="preserve">інші доходи </t>
    </r>
    <r>
      <rPr>
        <i/>
        <sz val="12"/>
        <rFont val="Times New Roman"/>
        <family val="1"/>
        <charset val="204"/>
      </rPr>
      <t>(розшифрувати)</t>
    </r>
  </si>
  <si>
    <r>
      <t>Інші виплати населенню (</t>
    </r>
    <r>
      <rPr>
        <i/>
        <sz val="12"/>
        <rFont val="Times New Roman"/>
        <family val="1"/>
        <charset val="204"/>
      </rPr>
      <t>розшифрувати)</t>
    </r>
  </si>
  <si>
    <r>
      <t xml:space="preserve">Інші поточні витрати </t>
    </r>
    <r>
      <rPr>
        <i/>
        <sz val="12"/>
        <rFont val="Times New Roman"/>
        <family val="1"/>
        <charset val="204"/>
      </rPr>
      <t>(розшифрувати)</t>
    </r>
  </si>
  <si>
    <r>
      <t xml:space="preserve">Середня кількість працівників </t>
    </r>
    <r>
      <rPr>
        <sz val="12"/>
        <rFont val="Times New Roman"/>
        <family val="1"/>
        <charset val="204"/>
      </rPr>
      <t>(штатних працівників, зовнішніх сумісників та працівників, що працюють за цивільно-правовими договорами)</t>
    </r>
    <r>
      <rPr>
        <b/>
        <sz val="12"/>
        <rFont val="Times New Roman"/>
        <family val="1"/>
        <charset val="204"/>
      </rPr>
      <t>, у тому числі:</t>
    </r>
  </si>
  <si>
    <r>
      <t xml:space="preserve">Середня кількість працівників </t>
    </r>
    <r>
      <rPr>
        <sz val="12"/>
        <rFont val="Times New Roman"/>
        <family val="1"/>
        <charset val="204"/>
      </rPr>
      <t>(штатних працівників, зовнішніх сумісників та працівників, що працюють за цивільно-правовими договорами)</t>
    </r>
    <r>
      <rPr>
        <b/>
        <sz val="12"/>
        <rFont val="Times New Roman"/>
        <family val="1"/>
        <charset val="204"/>
      </rPr>
      <t>, у т.ч.:</t>
    </r>
  </si>
  <si>
    <t>Стоматологічна допомога населенню</t>
  </si>
  <si>
    <t>86.23</t>
  </si>
  <si>
    <t>За   1 квартал  2024 року</t>
  </si>
  <si>
    <t>Стоматологічна допомога населленню</t>
  </si>
  <si>
    <t>Пільгове зубне протезування</t>
  </si>
  <si>
    <t>Факт 2023</t>
  </si>
  <si>
    <t>Звітний період (1  квартал_ 2024 року)</t>
  </si>
  <si>
    <t>Звітний період (ІІ  квартал_ 2024 року)</t>
  </si>
  <si>
    <t>1-2 квартал</t>
  </si>
  <si>
    <t>Обласна комплексна програма підтримки ветеранів</t>
  </si>
  <si>
    <t>77-10-10</t>
  </si>
  <si>
    <t>За   ІІ квартал  2024 року</t>
  </si>
  <si>
    <t>За   ІІІ квартал  2024 року</t>
  </si>
  <si>
    <t>1-3 кв</t>
  </si>
  <si>
    <t>Звітний період (ІІІ  квартал_ 2024 року)</t>
  </si>
  <si>
    <t>Звітний період (ІV  квартал_ 2024 року)</t>
  </si>
  <si>
    <t>78-10-10</t>
  </si>
  <si>
    <t>За   ІV квартал  2024 року</t>
  </si>
  <si>
    <t>№ п.п</t>
  </si>
  <si>
    <t>Назва підприємства</t>
  </si>
  <si>
    <t>Місце розташування</t>
  </si>
  <si>
    <t>Загальна сума доходів</t>
  </si>
  <si>
    <t>2023 рік, тис.грн</t>
  </si>
  <si>
    <t>2024 рік, тис.грн</t>
  </si>
  <si>
    <t>Відношення 2024р до 2023р.%</t>
  </si>
  <si>
    <t>Загальна сума витрат</t>
  </si>
  <si>
    <t>Різниця (+, -)</t>
  </si>
  <si>
    <t>Собівартість</t>
  </si>
  <si>
    <t>Чистий прибуток (збиток)</t>
  </si>
  <si>
    <t>Частина чистого прибутку (15%), відрахована до обласного бюджету</t>
  </si>
  <si>
    <t>Податок на прибуток, перерахований до обласного бюджету</t>
  </si>
  <si>
    <t>Чисельність працюючих</t>
  </si>
  <si>
    <t>Середня заробітна плата в місяць</t>
  </si>
  <si>
    <t>Сплачено ПДФО (податок з доходів фізичних осіб)</t>
  </si>
  <si>
    <t>Первисна вартість основних засобів</t>
  </si>
  <si>
    <t>Оренда нерухомого майна</t>
  </si>
  <si>
    <t>Залишкова вартість основних засобів</t>
  </si>
  <si>
    <t>Інші доходи</t>
  </si>
  <si>
    <t>м.Суми, вул.Привокзальна, 29</t>
  </si>
  <si>
    <t>Додаток 3</t>
  </si>
  <si>
    <t>Інформація про основні показники діяльності підприємства за 4 квартал 2024 р.</t>
  </si>
  <si>
    <t>оксасіл</t>
  </si>
  <si>
    <t>черевко</t>
  </si>
  <si>
    <t>палій</t>
  </si>
  <si>
    <t>левченко</t>
  </si>
  <si>
    <t>папідоха</t>
  </si>
  <si>
    <t>антонов</t>
  </si>
  <si>
    <t>галстян</t>
  </si>
  <si>
    <t>зета</t>
  </si>
  <si>
    <t>спід</t>
  </si>
  <si>
    <t>Кількість та вартість наданих послуг, в т.ч. за видами послуг</t>
  </si>
  <si>
    <t>2023 рік, тис.од</t>
  </si>
  <si>
    <t>2024 рік, тис.од</t>
  </si>
  <si>
    <t>41,9/23000,0</t>
  </si>
  <si>
    <t>87,7/127,8</t>
  </si>
  <si>
    <t>-5,9/5000</t>
  </si>
  <si>
    <t>Комунальне некомерційне підриємство Сумської обласної ради "Сумська клінічна стоматологічна поліклініка"</t>
  </si>
  <si>
    <t>Інформація про основні показники діяльності підприємства за  2024 р.</t>
  </si>
  <si>
    <t>Різниця  (+, -)</t>
  </si>
  <si>
    <t>47,8/18000,0</t>
  </si>
  <si>
    <t>10,7/6893</t>
  </si>
  <si>
    <t>11,9/4738</t>
  </si>
  <si>
    <t>90/145</t>
  </si>
  <si>
    <t>-1,2//2155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</si>
</sst>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_-* #,##0.00\ _г_р_н_._-;\-* #,##0.00\ _г_р_н_._-;_-* \-??\ _г_р_н_._-;_-@_-"/>
    <numFmt numFmtId="165" formatCode="###\ ##0.000"/>
    <numFmt numFmtId="166" formatCode="_(\$* #,##0.00_);_(\$* \(#,##0.00\);_(\$* \-??_);_(@_)"/>
    <numFmt numFmtId="167" formatCode="_(* #,##0_);_(* \(#,##0\);_(* \-_);_(@_)"/>
    <numFmt numFmtId="168" formatCode="_(* #,##0.00_);_(* \(#,##0.00\);_(* \-??_);_(@_)"/>
    <numFmt numFmtId="169" formatCode="_-* #,##0.00_₴_-;\-* #,##0.00_₴_-;_-* \-??_₴_-;_-@_-"/>
    <numFmt numFmtId="170" formatCode="#,##0.00&quot;р.&quot;;\-#,##0.00&quot;р.&quot;"/>
    <numFmt numFmtId="171" formatCode="#,##0.0_ ;[Red]\-#,##0.0\ "/>
    <numFmt numFmtId="172" formatCode="_-* #,##0.00_р_._-;\-* #,##0.00_р_._-;_-* \-??_р_._-;_-@_-"/>
    <numFmt numFmtId="173" formatCode="#,##0&quot;р.&quot;;[Red]\-#,##0&quot;р.&quot;"/>
    <numFmt numFmtId="174" formatCode="0.0;\(0.0\);\ ;\-"/>
    <numFmt numFmtId="175" formatCode="#,##0.0"/>
    <numFmt numFmtId="176" formatCode="_(* #,##0.0_);_(* \(#,##0.0\);_(* \-_);_(@_)"/>
    <numFmt numFmtId="177" formatCode="_(* #,##0.00_);_(* \(#,##0.00\);_(* \-_);_(@_)"/>
    <numFmt numFmtId="178" formatCode="_(* #,##0.000_);_(* \(#,##0.000\);_(* \-_);_(@_)"/>
    <numFmt numFmtId="179" formatCode="_(* #,##0.0000_);_(* \(#,##0.0000\);_(* \-_);_(@_)"/>
    <numFmt numFmtId="180" formatCode="0.0"/>
    <numFmt numFmtId="181" formatCode="_-* #,##0.0\ _₽_-;\-* #,##0.0\ _₽_-;_-* &quot;-&quot;?\ _₽_-;_-@_-"/>
  </numFmts>
  <fonts count="86">
    <font>
      <sz val="10"/>
      <name val="Arial Cyr"/>
      <charset val="204"/>
    </font>
    <font>
      <sz val="10"/>
      <name val="Arial"/>
      <charset val="204"/>
    </font>
    <font>
      <sz val="11"/>
      <color indexed="8"/>
      <name val="Calibri"/>
      <family val="2"/>
      <charset val="204"/>
    </font>
    <font>
      <sz val="11"/>
      <color indexed="8"/>
      <name val="Arial Cyr"/>
      <family val="2"/>
      <charset val="204"/>
    </font>
    <font>
      <sz val="11"/>
      <color indexed="9"/>
      <name val="Calibri"/>
      <family val="2"/>
      <charset val="204"/>
    </font>
    <font>
      <sz val="11"/>
      <color indexed="9"/>
      <name val="Arial Cyr"/>
      <family val="2"/>
      <charset val="204"/>
    </font>
    <font>
      <sz val="11"/>
      <color indexed="20"/>
      <name val="Calibri"/>
      <family val="2"/>
      <charset val="204"/>
    </font>
    <font>
      <b/>
      <sz val="11"/>
      <color indexed="52"/>
      <name val="Calibri"/>
      <family val="2"/>
      <charset val="204"/>
    </font>
    <font>
      <b/>
      <sz val="11"/>
      <color indexed="9"/>
      <name val="Calibri"/>
      <family val="2"/>
      <charset val="204"/>
    </font>
    <font>
      <b/>
      <sz val="12"/>
      <name val="Arial"/>
      <family val="2"/>
      <charset val="204"/>
    </font>
    <font>
      <sz val="10"/>
      <name val="Arial"/>
      <family val="2"/>
      <charset val="204"/>
    </font>
    <font>
      <i/>
      <sz val="11"/>
      <color indexed="23"/>
      <name val="Calibri"/>
      <family val="2"/>
      <charset val="204"/>
    </font>
    <font>
      <sz val="10"/>
      <name val="FreeSet"/>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u/>
      <sz val="10"/>
      <color indexed="12"/>
      <name val="Arial"/>
      <family val="2"/>
      <charset val="204"/>
    </font>
    <font>
      <sz val="11"/>
      <color indexed="62"/>
      <name val="Calibri"/>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sz val="11"/>
      <color indexed="52"/>
      <name val="Calibri"/>
      <family val="2"/>
      <charset val="204"/>
    </font>
    <font>
      <sz val="11"/>
      <color indexed="60"/>
      <name val="Calibri"/>
      <family val="2"/>
      <charset val="204"/>
    </font>
    <font>
      <b/>
      <sz val="10"/>
      <name val="Arial"/>
      <family val="2"/>
      <charset val="204"/>
    </font>
    <font>
      <b/>
      <sz val="11"/>
      <color indexed="63"/>
      <name val="Calibri"/>
      <family val="2"/>
      <charset val="204"/>
    </font>
    <font>
      <b/>
      <sz val="18"/>
      <color indexed="56"/>
      <name val="Cambria"/>
      <family val="2"/>
      <charset val="204"/>
    </font>
    <font>
      <b/>
      <sz val="11"/>
      <color indexed="8"/>
      <name val="Calibri"/>
      <family val="2"/>
      <charset val="204"/>
    </font>
    <font>
      <sz val="11"/>
      <color indexed="10"/>
      <name val="Calibri"/>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8"/>
      <name val="Arial"/>
      <family val="2"/>
      <charset val="204"/>
    </font>
    <font>
      <sz val="10"/>
      <name val="Arial Cyr"/>
      <family val="2"/>
      <charset val="204"/>
    </font>
    <font>
      <sz val="11"/>
      <color indexed="20"/>
      <name val="Arial Cyr"/>
      <family val="2"/>
      <charset val="204"/>
    </font>
    <font>
      <i/>
      <sz val="11"/>
      <color indexed="23"/>
      <name val="Arial Cyr"/>
      <family val="2"/>
      <charset val="204"/>
    </font>
    <font>
      <sz val="11"/>
      <color indexed="52"/>
      <name val="Arial Cyr"/>
      <family val="2"/>
      <charset val="204"/>
    </font>
    <font>
      <sz val="11"/>
      <color indexed="10"/>
      <name val="Arial Cyr"/>
      <family val="2"/>
      <charset val="204"/>
    </font>
    <font>
      <sz val="11"/>
      <color indexed="17"/>
      <name val="Arial Cyr"/>
      <family val="2"/>
      <charset val="204"/>
    </font>
    <font>
      <sz val="10"/>
      <name val="Petersburg"/>
      <charset val="204"/>
    </font>
    <font>
      <sz val="10"/>
      <name val="Tahoma"/>
      <family val="2"/>
      <charset val="204"/>
    </font>
    <font>
      <sz val="14"/>
      <name val="Times New Roman"/>
      <family val="1"/>
      <charset val="204"/>
    </font>
    <font>
      <u/>
      <sz val="14"/>
      <name val="Times New Roman"/>
      <family val="1"/>
      <charset val="204"/>
    </font>
    <font>
      <b/>
      <sz val="14"/>
      <name val="Times New Roman"/>
      <family val="1"/>
      <charset val="204"/>
    </font>
    <font>
      <b/>
      <i/>
      <sz val="14"/>
      <name val="Times New Roman"/>
      <family val="1"/>
      <charset val="204"/>
    </font>
    <font>
      <i/>
      <sz val="14"/>
      <name val="Times New Roman"/>
      <family val="1"/>
      <charset val="204"/>
    </font>
    <font>
      <b/>
      <sz val="16"/>
      <name val="Times New Roman"/>
      <family val="1"/>
      <charset val="204"/>
    </font>
    <font>
      <sz val="10"/>
      <name val="Arial Cyr"/>
      <charset val="204"/>
    </font>
    <font>
      <i/>
      <u/>
      <sz val="14"/>
      <name val="Times New Roman"/>
      <family val="1"/>
      <charset val="204"/>
    </font>
    <font>
      <sz val="11"/>
      <name val="Times New Roman"/>
      <family val="1"/>
      <charset val="204"/>
    </font>
    <font>
      <sz val="10"/>
      <name val="Times New Roman"/>
      <family val="1"/>
      <charset val="204"/>
    </font>
    <font>
      <b/>
      <sz val="10"/>
      <color indexed="54"/>
      <name val="Arial Cyr"/>
      <charset val="204"/>
    </font>
    <font>
      <sz val="10"/>
      <color indexed="9"/>
      <name val="Arial Cyr"/>
      <charset val="204"/>
    </font>
    <font>
      <b/>
      <sz val="10"/>
      <name val="Arial Cyr"/>
      <charset val="204"/>
    </font>
    <font>
      <sz val="14"/>
      <name val="Times New Roman"/>
      <family val="1"/>
    </font>
    <font>
      <sz val="9"/>
      <color indexed="81"/>
      <name val="Tahoma"/>
      <family val="2"/>
    </font>
    <font>
      <b/>
      <sz val="9"/>
      <color indexed="81"/>
      <name val="Tahoma"/>
      <family val="2"/>
    </font>
    <font>
      <sz val="12"/>
      <name val="Times New Roman"/>
      <family val="1"/>
      <charset val="204"/>
    </font>
    <font>
      <sz val="12"/>
      <name val="Arial Cyr"/>
      <charset val="204"/>
    </font>
    <font>
      <u/>
      <sz val="12"/>
      <name val="Times New Roman"/>
      <family val="1"/>
      <charset val="204"/>
    </font>
    <font>
      <b/>
      <sz val="12"/>
      <name val="Times New Roman"/>
      <family val="1"/>
      <charset val="204"/>
    </font>
    <font>
      <b/>
      <i/>
      <sz val="12"/>
      <name val="Times New Roman"/>
      <family val="1"/>
      <charset val="204"/>
    </font>
    <font>
      <i/>
      <sz val="12"/>
      <name val="Times New Roman"/>
      <family val="1"/>
      <charset val="204"/>
    </font>
    <font>
      <b/>
      <sz val="12"/>
      <name val="Times New Roman"/>
      <family val="1"/>
    </font>
    <font>
      <sz val="12"/>
      <name val="Times New Roman"/>
      <family val="1"/>
    </font>
    <font>
      <sz val="8"/>
      <name val="Arial Cyr"/>
      <charset val="204"/>
    </font>
    <font>
      <sz val="10"/>
      <name val="Times New Roman"/>
      <family val="1"/>
    </font>
    <font>
      <b/>
      <sz val="10"/>
      <name val="Times New Roman"/>
      <family val="1"/>
    </font>
    <font>
      <b/>
      <sz val="14"/>
      <name val="Times New Roman"/>
      <family val="1"/>
    </font>
    <font>
      <i/>
      <sz val="12"/>
      <name val="Times New Roman"/>
      <family val="1"/>
    </font>
    <font>
      <sz val="12"/>
      <color theme="1"/>
      <name val="Times New Roman"/>
      <family val="1"/>
    </font>
  </fonts>
  <fills count="28">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9"/>
        <bgColor indexed="26"/>
      </patternFill>
    </fill>
    <fill>
      <patternFill patternType="solid">
        <fgColor indexed="43"/>
        <bgColor indexed="26"/>
      </patternFill>
    </fill>
    <fill>
      <patternFill patternType="solid">
        <fgColor indexed="26"/>
        <bgColor indexed="9"/>
      </patternFill>
    </fill>
    <fill>
      <patternFill patternType="solid">
        <fgColor indexed="21"/>
        <bgColor indexed="54"/>
      </patternFill>
    </fill>
    <fill>
      <patternFill patternType="solid">
        <fgColor rgb="FFFFFF00"/>
        <bgColor indexed="64"/>
      </patternFill>
    </fill>
    <fill>
      <patternFill patternType="solid">
        <fgColor rgb="FFFFFF00"/>
        <bgColor indexed="26"/>
      </patternFill>
    </fill>
  </fills>
  <borders count="3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8"/>
      </left>
      <right style="thin">
        <color indexed="8"/>
      </right>
      <top style="double">
        <color indexed="8"/>
      </top>
      <bottom style="thin">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right/>
      <top/>
      <bottom style="thin">
        <color indexed="8"/>
      </bottom>
      <diagonal/>
    </border>
    <border>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medium">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medium">
        <color indexed="8"/>
      </top>
      <bottom style="medium">
        <color indexed="8"/>
      </bottom>
      <diagonal/>
    </border>
  </borders>
  <cellStyleXfs count="353">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3" fillId="2" borderId="0" applyNumberFormat="0" applyBorder="0" applyAlignment="0" applyProtection="0"/>
    <xf numFmtId="0" fontId="2" fillId="2" borderId="0" applyNumberFormat="0" applyBorder="0" applyAlignment="0" applyProtection="0"/>
    <xf numFmtId="0" fontId="3" fillId="3"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2" fillId="4"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3" fillId="6" borderId="0" applyNumberFormat="0" applyBorder="0" applyAlignment="0" applyProtection="0"/>
    <xf numFmtId="0" fontId="2" fillId="6" borderId="0" applyNumberFormat="0" applyBorder="0" applyAlignment="0" applyProtection="0"/>
    <xf numFmtId="0" fontId="3"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3" fillId="9" borderId="0" applyNumberFormat="0" applyBorder="0" applyAlignment="0" applyProtection="0"/>
    <xf numFmtId="0" fontId="2" fillId="9" borderId="0" applyNumberFormat="0" applyBorder="0" applyAlignment="0" applyProtection="0"/>
    <xf numFmtId="0" fontId="3" fillId="10" borderId="0" applyNumberFormat="0" applyBorder="0" applyAlignment="0" applyProtection="0"/>
    <xf numFmtId="0" fontId="2" fillId="10"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3" fillId="11" borderId="0" applyNumberFormat="0" applyBorder="0" applyAlignment="0" applyProtection="0"/>
    <xf numFmtId="0" fontId="2"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12" borderId="0" applyNumberFormat="0" applyBorder="0" applyAlignment="0" applyProtection="0"/>
    <xf numFmtId="0" fontId="4" fillId="12" borderId="0" applyNumberFormat="0" applyBorder="0" applyAlignment="0" applyProtection="0"/>
    <xf numFmtId="0" fontId="5" fillId="9" borderId="0" applyNumberFormat="0" applyBorder="0" applyAlignment="0" applyProtection="0"/>
    <xf numFmtId="0" fontId="4" fillId="9" borderId="0" applyNumberFormat="0" applyBorder="0" applyAlignment="0" applyProtection="0"/>
    <xf numFmtId="0" fontId="5" fillId="10" borderId="0" applyNumberFormat="0" applyBorder="0" applyAlignment="0" applyProtection="0"/>
    <xf numFmtId="0" fontId="4" fillId="10" borderId="0" applyNumberFormat="0" applyBorder="0" applyAlignment="0" applyProtection="0"/>
    <xf numFmtId="0" fontId="5" fillId="13"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4" fillId="14" borderId="0" applyNumberFormat="0" applyBorder="0" applyAlignment="0" applyProtection="0"/>
    <xf numFmtId="0" fontId="5"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164" fontId="62" fillId="0" borderId="0" applyFill="0" applyBorder="0" applyAlignment="0" applyProtection="0"/>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0" fontId="11" fillId="0" borderId="0" applyNumberFormat="0" applyFill="0" applyBorder="0" applyAlignment="0" applyProtection="0"/>
    <xf numFmtId="165" fontId="12" fillId="0" borderId="0" applyAlignment="0"/>
    <xf numFmtId="0" fontId="13" fillId="4" borderId="0" applyNumberFormat="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7" borderId="1" applyNumberFormat="0" applyAlignment="0" applyProtection="0"/>
    <xf numFmtId="0" fontId="62" fillId="0" borderId="0" applyNumberFormat="0" applyAlignment="0">
      <protection locked="0"/>
    </xf>
    <xf numFmtId="0" fontId="62" fillId="0" borderId="0" applyNumberFormat="0" applyAlignment="0"/>
    <xf numFmtId="0" fontId="62" fillId="0" borderId="0" applyNumberFormat="0" applyAlignment="0"/>
    <xf numFmtId="0" fontId="62" fillId="0" borderId="0" applyNumberFormat="0" applyAlignment="0">
      <protection locked="0"/>
    </xf>
    <xf numFmtId="0" fontId="62" fillId="0" borderId="0" applyNumberFormat="0" applyAlignment="0"/>
    <xf numFmtId="0" fontId="62" fillId="0" borderId="0" applyNumberFormat="0" applyAlignment="0">
      <protection locked="0"/>
    </xf>
    <xf numFmtId="0" fontId="62" fillId="0" borderId="0" applyNumberFormat="0" applyAlignment="0"/>
    <xf numFmtId="0" fontId="62" fillId="0" borderId="0" applyNumberFormat="0" applyAlignment="0">
      <protection locked="0"/>
    </xf>
    <xf numFmtId="0" fontId="62" fillId="0" borderId="0" applyNumberFormat="0" applyAlignment="0">
      <protection locked="0"/>
    </xf>
    <xf numFmtId="0" fontId="62" fillId="0" borderId="0" applyNumberFormat="0" applyAlignment="0">
      <protection locked="0"/>
    </xf>
    <xf numFmtId="0" fontId="62" fillId="0" borderId="0" applyNumberFormat="0" applyAlignment="0">
      <protection locked="0"/>
    </xf>
    <xf numFmtId="0" fontId="62" fillId="0" borderId="0" applyNumberFormat="0" applyAlignment="0">
      <protection locked="0"/>
    </xf>
    <xf numFmtId="0" fontId="62" fillId="0" borderId="0" applyNumberFormat="0" applyAlignment="0">
      <protection locked="0"/>
    </xf>
    <xf numFmtId="0" fontId="62" fillId="0" borderId="0" applyNumberFormat="0" applyAlignment="0">
      <protection locked="0"/>
    </xf>
    <xf numFmtId="0" fontId="62" fillId="0" borderId="0" applyNumberFormat="0" applyAlignment="0">
      <protection locked="0"/>
    </xf>
    <xf numFmtId="0" fontId="62" fillId="0" borderId="0" applyNumberFormat="0" applyAlignment="0">
      <protection locked="0"/>
    </xf>
    <xf numFmtId="0" fontId="62" fillId="0" borderId="0" applyNumberFormat="0" applyAlignment="0">
      <protection locked="0"/>
    </xf>
    <xf numFmtId="0" fontId="62" fillId="0" borderId="0" applyNumberFormat="0" applyAlignment="0">
      <protection locked="0"/>
    </xf>
    <xf numFmtId="0" fontId="62" fillId="0" borderId="0" applyNumberFormat="0" applyAlignment="0">
      <protection locked="0"/>
    </xf>
    <xf numFmtId="0" fontId="62" fillId="0" borderId="0" applyNumberFormat="0" applyAlignment="0">
      <protection locked="0"/>
    </xf>
    <xf numFmtId="49" fontId="19" fillId="22" borderId="7">
      <alignment horizontal="left" vertical="center"/>
      <protection locked="0"/>
    </xf>
    <xf numFmtId="49" fontId="19" fillId="22" borderId="7">
      <alignment horizontal="left" vertical="center"/>
    </xf>
    <xf numFmtId="4" fontId="19" fillId="22" borderId="7">
      <alignment horizontal="right" vertical="center"/>
      <protection locked="0"/>
    </xf>
    <xf numFmtId="4" fontId="19" fillId="22" borderId="7">
      <alignment horizontal="right" vertical="center"/>
    </xf>
    <xf numFmtId="4" fontId="20" fillId="22" borderId="7">
      <alignment horizontal="right" vertical="center"/>
      <protection locked="0"/>
    </xf>
    <xf numFmtId="49" fontId="21" fillId="22" borderId="3">
      <alignment horizontal="left" vertical="center"/>
      <protection locked="0"/>
    </xf>
    <xf numFmtId="49" fontId="21" fillId="22" borderId="3">
      <alignment horizontal="left" vertical="center"/>
    </xf>
    <xf numFmtId="49" fontId="22" fillId="22" borderId="3">
      <alignment horizontal="left" vertical="center"/>
      <protection locked="0"/>
    </xf>
    <xf numFmtId="49" fontId="22" fillId="22" borderId="3">
      <alignment horizontal="left" vertical="center"/>
    </xf>
    <xf numFmtId="4" fontId="21" fillId="22" borderId="3">
      <alignment horizontal="right" vertical="center"/>
      <protection locked="0"/>
    </xf>
    <xf numFmtId="4" fontId="21" fillId="22" borderId="3">
      <alignment horizontal="right" vertical="center"/>
    </xf>
    <xf numFmtId="4" fontId="23" fillId="22" borderId="3">
      <alignment horizontal="right" vertical="center"/>
      <protection locked="0"/>
    </xf>
    <xf numFmtId="49" fontId="9" fillId="22" borderId="3">
      <alignment horizontal="left" vertical="center"/>
      <protection locked="0"/>
    </xf>
    <xf numFmtId="49" fontId="9" fillId="22" borderId="3">
      <alignment horizontal="left" vertical="center"/>
      <protection locked="0"/>
    </xf>
    <xf numFmtId="49" fontId="9" fillId="22" borderId="3">
      <alignment horizontal="left" vertical="center"/>
    </xf>
    <xf numFmtId="49" fontId="9" fillId="22" borderId="3">
      <alignment horizontal="left" vertical="center"/>
    </xf>
    <xf numFmtId="49" fontId="20" fillId="22" borderId="3">
      <alignment horizontal="left" vertical="center"/>
      <protection locked="0"/>
    </xf>
    <xf numFmtId="49" fontId="20" fillId="22" borderId="3">
      <alignment horizontal="left" vertical="center"/>
    </xf>
    <xf numFmtId="4" fontId="9" fillId="22" borderId="3">
      <alignment horizontal="right" vertical="center"/>
      <protection locked="0"/>
    </xf>
    <xf numFmtId="4" fontId="9" fillId="22" borderId="3">
      <alignment horizontal="right" vertical="center"/>
      <protection locked="0"/>
    </xf>
    <xf numFmtId="4" fontId="9" fillId="22" borderId="3">
      <alignment horizontal="right" vertical="center"/>
    </xf>
    <xf numFmtId="4" fontId="9" fillId="22" borderId="3">
      <alignment horizontal="right" vertical="center"/>
    </xf>
    <xf numFmtId="4" fontId="20" fillId="22" borderId="3">
      <alignment horizontal="right" vertical="center"/>
      <protection locked="0"/>
    </xf>
    <xf numFmtId="49" fontId="24" fillId="22" borderId="3">
      <alignment horizontal="left" vertical="center"/>
      <protection locked="0"/>
    </xf>
    <xf numFmtId="49" fontId="24" fillId="22" borderId="3">
      <alignment horizontal="left" vertical="center"/>
    </xf>
    <xf numFmtId="49" fontId="25" fillId="22" borderId="3">
      <alignment horizontal="left" vertical="center"/>
      <protection locked="0"/>
    </xf>
    <xf numFmtId="49" fontId="25" fillId="22" borderId="3">
      <alignment horizontal="left" vertical="center"/>
    </xf>
    <xf numFmtId="4" fontId="24" fillId="22" borderId="3">
      <alignment horizontal="right" vertical="center"/>
      <protection locked="0"/>
    </xf>
    <xf numFmtId="4" fontId="24" fillId="22" borderId="3">
      <alignment horizontal="right" vertical="center"/>
    </xf>
    <xf numFmtId="4" fontId="26" fillId="22" borderId="3">
      <alignment horizontal="right" vertical="center"/>
      <protection locked="0"/>
    </xf>
    <xf numFmtId="49" fontId="27" fillId="0" borderId="3">
      <alignment horizontal="left" vertical="center"/>
      <protection locked="0"/>
    </xf>
    <xf numFmtId="49" fontId="27" fillId="0" borderId="3">
      <alignment horizontal="left" vertical="center"/>
    </xf>
    <xf numFmtId="49" fontId="28" fillId="0" borderId="3">
      <alignment horizontal="left" vertical="center"/>
      <protection locked="0"/>
    </xf>
    <xf numFmtId="49" fontId="28" fillId="0" borderId="3">
      <alignment horizontal="left" vertical="center"/>
    </xf>
    <xf numFmtId="4" fontId="27" fillId="0" borderId="3">
      <alignment horizontal="right" vertical="center"/>
      <protection locked="0"/>
    </xf>
    <xf numFmtId="4" fontId="27" fillId="0" borderId="3">
      <alignment horizontal="right" vertical="center"/>
    </xf>
    <xf numFmtId="4" fontId="28" fillId="0" borderId="3">
      <alignment horizontal="right" vertical="center"/>
      <protection locked="0"/>
    </xf>
    <xf numFmtId="49" fontId="29" fillId="0" borderId="3">
      <alignment horizontal="left" vertical="center"/>
      <protection locked="0"/>
    </xf>
    <xf numFmtId="49" fontId="29" fillId="0" borderId="3">
      <alignment horizontal="left" vertical="center"/>
    </xf>
    <xf numFmtId="49" fontId="30" fillId="0" borderId="3">
      <alignment horizontal="left" vertical="center"/>
      <protection locked="0"/>
    </xf>
    <xf numFmtId="49" fontId="30" fillId="0" borderId="3">
      <alignment horizontal="left" vertical="center"/>
    </xf>
    <xf numFmtId="4" fontId="29" fillId="0" borderId="3">
      <alignment horizontal="right" vertical="center"/>
      <protection locked="0"/>
    </xf>
    <xf numFmtId="4" fontId="29" fillId="0" borderId="3">
      <alignment horizontal="right" vertical="center"/>
    </xf>
    <xf numFmtId="49" fontId="27" fillId="0" borderId="3">
      <alignment horizontal="left" vertical="center"/>
      <protection locked="0"/>
    </xf>
    <xf numFmtId="49" fontId="28" fillId="0" borderId="3">
      <alignment horizontal="left" vertical="center"/>
      <protection locked="0"/>
    </xf>
    <xf numFmtId="4" fontId="27" fillId="0" borderId="3">
      <alignment horizontal="right" vertical="center"/>
      <protection locked="0"/>
    </xf>
    <xf numFmtId="0" fontId="31" fillId="0" borderId="8" applyNumberFormat="0" applyFill="0" applyAlignment="0" applyProtection="0"/>
    <xf numFmtId="0" fontId="32" fillId="23" borderId="0" applyNumberFormat="0" applyBorder="0" applyAlignment="0" applyProtection="0"/>
    <xf numFmtId="0" fontId="10" fillId="0" borderId="0"/>
    <xf numFmtId="0" fontId="10" fillId="0" borderId="0"/>
    <xf numFmtId="0" fontId="10" fillId="0" borderId="0" applyNumberFormat="0" applyFill="0" applyAlignment="0">
      <protection locked="0"/>
    </xf>
    <xf numFmtId="0" fontId="62" fillId="24" borderId="9" applyNumberFormat="0" applyAlignment="0" applyProtection="0"/>
    <xf numFmtId="4" fontId="33" fillId="7" borderId="3">
      <alignment horizontal="right" vertical="center"/>
      <protection locked="0"/>
    </xf>
    <xf numFmtId="4" fontId="33" fillId="6" borderId="3">
      <alignment horizontal="right" vertical="center"/>
      <protection locked="0"/>
    </xf>
    <xf numFmtId="4" fontId="33" fillId="20" borderId="3">
      <alignment horizontal="right" vertical="center"/>
      <protection locked="0"/>
    </xf>
    <xf numFmtId="0" fontId="34" fillId="20" borderId="10" applyNumberFormat="0" applyAlignment="0" applyProtection="0"/>
    <xf numFmtId="49" fontId="9" fillId="0" borderId="3">
      <alignment horizontal="left" vertical="center" wrapText="1"/>
      <protection locked="0"/>
    </xf>
    <xf numFmtId="49" fontId="9" fillId="0" borderId="3">
      <alignment horizontal="left" vertical="center" wrapText="1"/>
      <protection locked="0"/>
    </xf>
    <xf numFmtId="0" fontId="35" fillId="0" borderId="0" applyNumberFormat="0" applyFill="0" applyBorder="0" applyAlignment="0" applyProtection="0"/>
    <xf numFmtId="0" fontId="36" fillId="0" borderId="11" applyNumberFormat="0" applyFill="0" applyAlignment="0" applyProtection="0"/>
    <xf numFmtId="0" fontId="37" fillId="0" borderId="0" applyNumberFormat="0" applyFill="0" applyBorder="0" applyAlignment="0" applyProtection="0"/>
    <xf numFmtId="0" fontId="5" fillId="16" borderId="0" applyNumberFormat="0" applyBorder="0" applyAlignment="0" applyProtection="0"/>
    <xf numFmtId="0" fontId="4" fillId="16" borderId="0" applyNumberFormat="0" applyBorder="0" applyAlignment="0" applyProtection="0"/>
    <xf numFmtId="0" fontId="5" fillId="17" borderId="0" applyNumberFormat="0" applyBorder="0" applyAlignment="0" applyProtection="0"/>
    <xf numFmtId="0" fontId="4" fillId="17" borderId="0" applyNumberFormat="0" applyBorder="0" applyAlignment="0" applyProtection="0"/>
    <xf numFmtId="0" fontId="5" fillId="18" borderId="0" applyNumberFormat="0" applyBorder="0" applyAlignment="0" applyProtection="0"/>
    <xf numFmtId="0" fontId="4" fillId="18" borderId="0" applyNumberFormat="0" applyBorder="0" applyAlignment="0" applyProtection="0"/>
    <xf numFmtId="0" fontId="5" fillId="13"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4" fillId="14" borderId="0" applyNumberFormat="0" applyBorder="0" applyAlignment="0" applyProtection="0"/>
    <xf numFmtId="0" fontId="5" fillId="19" borderId="0" applyNumberFormat="0" applyBorder="0" applyAlignment="0" applyProtection="0"/>
    <xf numFmtId="0" fontId="4" fillId="19" borderId="0" applyNumberFormat="0" applyBorder="0" applyAlignment="0" applyProtection="0"/>
    <xf numFmtId="0" fontId="38" fillId="7" borderId="1" applyNumberFormat="0" applyAlignment="0" applyProtection="0"/>
    <xf numFmtId="0" fontId="18" fillId="7" borderId="1" applyNumberFormat="0" applyAlignment="0" applyProtection="0"/>
    <xf numFmtId="0" fontId="39" fillId="20" borderId="10" applyNumberFormat="0" applyAlignment="0" applyProtection="0"/>
    <xf numFmtId="0" fontId="34" fillId="20" borderId="10" applyNumberFormat="0" applyAlignment="0" applyProtection="0"/>
    <xf numFmtId="0" fontId="40" fillId="20" borderId="1" applyNumberFormat="0" applyAlignment="0" applyProtection="0"/>
    <xf numFmtId="0" fontId="7" fillId="20" borderId="1" applyNumberFormat="0" applyAlignment="0" applyProtection="0"/>
    <xf numFmtId="166" fontId="62" fillId="0" borderId="0" applyFill="0" applyBorder="0" applyAlignment="0" applyProtection="0"/>
    <xf numFmtId="0" fontId="41" fillId="0" borderId="4" applyNumberFormat="0" applyFill="0" applyAlignment="0" applyProtection="0"/>
    <xf numFmtId="0" fontId="14" fillId="0" borderId="4" applyNumberFormat="0" applyFill="0" applyAlignment="0" applyProtection="0"/>
    <xf numFmtId="0" fontId="42" fillId="0" borderId="5" applyNumberFormat="0" applyFill="0" applyAlignment="0" applyProtection="0"/>
    <xf numFmtId="0" fontId="15" fillId="0" borderId="5" applyNumberFormat="0" applyFill="0" applyAlignment="0" applyProtection="0"/>
    <xf numFmtId="0" fontId="43" fillId="0" borderId="6" applyNumberFormat="0" applyFill="0" applyAlignment="0" applyProtection="0"/>
    <xf numFmtId="0" fontId="16" fillId="0" borderId="6" applyNumberFormat="0" applyFill="0" applyAlignment="0" applyProtection="0"/>
    <xf numFmtId="0" fontId="43" fillId="0" borderId="0" applyNumberFormat="0" applyFill="0" applyBorder="0" applyAlignment="0" applyProtection="0"/>
    <xf numFmtId="0" fontId="16" fillId="0" borderId="0" applyNumberFormat="0" applyFill="0" applyBorder="0" applyAlignment="0" applyProtection="0"/>
    <xf numFmtId="0" fontId="44" fillId="0" borderId="11" applyNumberFormat="0" applyFill="0" applyAlignment="0" applyProtection="0"/>
    <xf numFmtId="0" fontId="36" fillId="0" borderId="11" applyNumberFormat="0" applyFill="0" applyAlignment="0" applyProtection="0"/>
    <xf numFmtId="0" fontId="45" fillId="21" borderId="2" applyNumberFormat="0" applyAlignment="0" applyProtection="0"/>
    <xf numFmtId="0" fontId="8" fillId="21" borderId="2" applyNumberFormat="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46" fillId="23" borderId="0" applyNumberFormat="0" applyBorder="0" applyAlignment="0" applyProtection="0"/>
    <xf numFmtId="0" fontId="32" fillId="23" borderId="0" applyNumberFormat="0" applyBorder="0" applyAlignment="0" applyProtection="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0" fillId="0" borderId="0"/>
    <xf numFmtId="0" fontId="4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2" fillId="0" borderId="0"/>
    <xf numFmtId="0" fontId="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4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62" fillId="0" borderId="0"/>
    <xf numFmtId="0" fontId="10" fillId="0" borderId="0"/>
    <xf numFmtId="0" fontId="62" fillId="0" borderId="0" applyNumberFormat="0" applyFill="0" applyBorder="0" applyAlignment="0" applyProtection="0"/>
    <xf numFmtId="0" fontId="62" fillId="0" borderId="0" applyNumberFormat="0" applyFill="0" applyBorder="0" applyAlignment="0" applyProtection="0"/>
    <xf numFmtId="0" fontId="62" fillId="0" borderId="0"/>
    <xf numFmtId="0" fontId="10" fillId="0" borderId="0"/>
    <xf numFmtId="0" fontId="62" fillId="0" borderId="0"/>
    <xf numFmtId="0" fontId="62" fillId="0" borderId="0"/>
    <xf numFmtId="0" fontId="62" fillId="0" borderId="0"/>
    <xf numFmtId="0" fontId="62" fillId="0" borderId="0"/>
    <xf numFmtId="0" fontId="10" fillId="0" borderId="0"/>
    <xf numFmtId="0" fontId="49" fillId="3" borderId="0" applyNumberFormat="0" applyBorder="0" applyAlignment="0" applyProtection="0"/>
    <xf numFmtId="0" fontId="6" fillId="3" borderId="0" applyNumberFormat="0" applyBorder="0" applyAlignment="0" applyProtection="0"/>
    <xf numFmtId="0" fontId="50" fillId="0" borderId="0" applyNumberFormat="0" applyFill="0" applyBorder="0" applyAlignment="0" applyProtection="0"/>
    <xf numFmtId="0" fontId="11" fillId="0" borderId="0" applyNumberFormat="0" applyFill="0" applyBorder="0" applyAlignment="0" applyProtection="0"/>
    <xf numFmtId="0" fontId="62" fillId="24" borderId="9" applyNumberFormat="0" applyAlignment="0" applyProtection="0"/>
    <xf numFmtId="0" fontId="62" fillId="24" borderId="9" applyNumberFormat="0" applyAlignment="0" applyProtection="0"/>
    <xf numFmtId="9" fontId="62" fillId="0" borderId="0" applyFill="0" applyBorder="0" applyAlignment="0" applyProtection="0"/>
    <xf numFmtId="9" fontId="62" fillId="0" borderId="0" applyFill="0" applyBorder="0" applyAlignment="0" applyProtection="0"/>
    <xf numFmtId="9" fontId="62" fillId="0" borderId="0" applyFill="0" applyBorder="0" applyAlignment="0" applyProtection="0"/>
    <xf numFmtId="9" fontId="62" fillId="0" borderId="0" applyFill="0" applyBorder="0" applyAlignment="0" applyProtection="0"/>
    <xf numFmtId="9" fontId="62" fillId="0" borderId="0" applyFill="0" applyBorder="0" applyAlignment="0" applyProtection="0"/>
    <xf numFmtId="9" fontId="62" fillId="0" borderId="0" applyFill="0" applyBorder="0" applyAlignment="0" applyProtection="0"/>
    <xf numFmtId="9" fontId="62" fillId="0" borderId="0" applyFill="0" applyBorder="0" applyAlignment="0" applyProtection="0"/>
    <xf numFmtId="9" fontId="62" fillId="0" borderId="0" applyFill="0" applyBorder="0" applyAlignment="0" applyProtection="0"/>
    <xf numFmtId="9" fontId="62" fillId="0" borderId="0" applyFill="0" applyBorder="0" applyAlignment="0" applyProtection="0"/>
    <xf numFmtId="9" fontId="62" fillId="0" borderId="0" applyFill="0" applyBorder="0" applyAlignment="0" applyProtection="0"/>
    <xf numFmtId="9" fontId="62" fillId="0" borderId="0" applyFill="0" applyBorder="0" applyAlignment="0" applyProtection="0"/>
    <xf numFmtId="9" fontId="62" fillId="0" borderId="0" applyFill="0" applyBorder="0" applyAlignment="0" applyProtection="0"/>
    <xf numFmtId="9" fontId="62" fillId="0" borderId="0" applyFill="0" applyBorder="0" applyAlignment="0" applyProtection="0"/>
    <xf numFmtId="9" fontId="62" fillId="0" borderId="0" applyFill="0" applyBorder="0" applyAlignment="0" applyProtection="0"/>
    <xf numFmtId="9" fontId="62" fillId="0" borderId="0" applyFill="0" applyBorder="0" applyAlignment="0" applyProtection="0"/>
    <xf numFmtId="9" fontId="62" fillId="0" borderId="0" applyFill="0" applyBorder="0" applyAlignment="0" applyProtection="0"/>
    <xf numFmtId="9" fontId="62" fillId="0" borderId="0" applyFill="0" applyBorder="0" applyAlignment="0" applyProtection="0"/>
    <xf numFmtId="9" fontId="62" fillId="0" borderId="0" applyFill="0" applyBorder="0" applyAlignment="0" applyProtection="0"/>
    <xf numFmtId="9" fontId="62" fillId="0" borderId="0" applyFill="0" applyBorder="0" applyAlignment="0" applyProtection="0"/>
    <xf numFmtId="0" fontId="51" fillId="0" borderId="8" applyNumberFormat="0" applyFill="0" applyAlignment="0" applyProtection="0"/>
    <xf numFmtId="0" fontId="31" fillId="0" borderId="8"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0" borderId="0" applyNumberFormat="0" applyFill="0" applyBorder="0" applyAlignment="0" applyProtection="0"/>
    <xf numFmtId="0" fontId="37" fillId="0" borderId="0" applyNumberFormat="0" applyFill="0" applyBorder="0" applyAlignment="0" applyProtection="0"/>
    <xf numFmtId="167" fontId="62" fillId="0" borderId="0" applyFill="0" applyBorder="0" applyAlignment="0" applyProtection="0"/>
    <xf numFmtId="168" fontId="62" fillId="0" borderId="0" applyFill="0" applyBorder="0" applyAlignment="0" applyProtection="0"/>
    <xf numFmtId="169" fontId="62" fillId="0" borderId="0" applyFill="0" applyBorder="0" applyAlignment="0" applyProtection="0"/>
    <xf numFmtId="169" fontId="62" fillId="0" borderId="0" applyFill="0" applyBorder="0" applyAlignment="0" applyProtection="0"/>
    <xf numFmtId="169" fontId="62" fillId="0" borderId="0" applyFill="0" applyBorder="0" applyAlignment="0" applyProtection="0"/>
    <xf numFmtId="169" fontId="62" fillId="0" borderId="0" applyFill="0" applyBorder="0" applyAlignment="0" applyProtection="0"/>
    <xf numFmtId="169" fontId="62" fillId="0" borderId="0" applyFill="0" applyBorder="0" applyAlignment="0" applyProtection="0"/>
    <xf numFmtId="169" fontId="62" fillId="0" borderId="0" applyFill="0" applyBorder="0" applyAlignment="0" applyProtection="0"/>
    <xf numFmtId="169" fontId="62" fillId="0" borderId="0" applyFill="0" applyBorder="0" applyAlignment="0" applyProtection="0"/>
    <xf numFmtId="169" fontId="62" fillId="0" borderId="0" applyFill="0" applyBorder="0" applyAlignment="0" applyProtection="0"/>
    <xf numFmtId="170" fontId="62" fillId="0" borderId="0" applyFill="0" applyBorder="0" applyAlignment="0" applyProtection="0"/>
    <xf numFmtId="169" fontId="62" fillId="0" borderId="0" applyFill="0" applyBorder="0" applyAlignment="0" applyProtection="0"/>
    <xf numFmtId="169" fontId="62" fillId="0" borderId="0" applyFill="0" applyBorder="0" applyAlignment="0" applyProtection="0"/>
    <xf numFmtId="169" fontId="62" fillId="0" borderId="0" applyFill="0" applyBorder="0" applyAlignment="0" applyProtection="0"/>
    <xf numFmtId="169" fontId="62" fillId="0" borderId="0" applyFill="0" applyBorder="0" applyAlignment="0" applyProtection="0"/>
    <xf numFmtId="169" fontId="62" fillId="0" borderId="0" applyFill="0" applyBorder="0" applyAlignment="0" applyProtection="0"/>
    <xf numFmtId="169" fontId="62" fillId="0" borderId="0" applyFill="0" applyBorder="0" applyAlignment="0" applyProtection="0"/>
    <xf numFmtId="169" fontId="62" fillId="0" borderId="0" applyFill="0" applyBorder="0" applyAlignment="0" applyProtection="0"/>
    <xf numFmtId="169" fontId="62" fillId="0" borderId="0" applyFill="0" applyBorder="0" applyAlignment="0" applyProtection="0"/>
    <xf numFmtId="171" fontId="62" fillId="0" borderId="0" applyFill="0" applyBorder="0" applyAlignment="0" applyProtection="0"/>
    <xf numFmtId="171" fontId="62" fillId="0" borderId="0" applyFill="0" applyBorder="0" applyAlignment="0" applyProtection="0"/>
    <xf numFmtId="172" fontId="62" fillId="0" borderId="0" applyFill="0" applyBorder="0" applyAlignment="0" applyProtection="0"/>
    <xf numFmtId="164" fontId="62" fillId="0" borderId="0" applyFill="0" applyBorder="0" applyAlignment="0" applyProtection="0"/>
    <xf numFmtId="164" fontId="62" fillId="0" borderId="0" applyFill="0" applyBorder="0" applyAlignment="0" applyProtection="0"/>
    <xf numFmtId="164" fontId="62" fillId="0" borderId="0" applyFill="0" applyBorder="0" applyAlignment="0" applyProtection="0"/>
    <xf numFmtId="173" fontId="62" fillId="0" borderId="0" applyFill="0" applyBorder="0" applyAlignment="0" applyProtection="0"/>
    <xf numFmtId="164" fontId="62" fillId="0" borderId="0" applyFill="0" applyBorder="0" applyAlignment="0" applyProtection="0"/>
    <xf numFmtId="0" fontId="53" fillId="4" borderId="0" applyNumberFormat="0" applyBorder="0" applyAlignment="0" applyProtection="0"/>
    <xf numFmtId="0" fontId="13" fillId="4" borderId="0" applyNumberFormat="0" applyBorder="0" applyAlignment="0" applyProtection="0"/>
    <xf numFmtId="174" fontId="55" fillId="0" borderId="0" applyFill="0" applyBorder="0">
      <alignment horizontal="center" vertical="center" wrapText="1"/>
      <protection locked="0"/>
    </xf>
    <xf numFmtId="165" fontId="54" fillId="0" borderId="0">
      <alignment wrapText="1"/>
    </xf>
    <xf numFmtId="165" fontId="12" fillId="0" borderId="0">
      <alignment wrapText="1"/>
    </xf>
  </cellStyleXfs>
  <cellXfs count="451">
    <xf numFmtId="0" fontId="0" fillId="0" borderId="0" xfId="0"/>
    <xf numFmtId="0" fontId="56" fillId="0" borderId="12" xfId="0" applyFont="1" applyFill="1" applyBorder="1" applyAlignment="1">
      <alignment vertical="center"/>
    </xf>
    <xf numFmtId="0" fontId="56" fillId="0" borderId="13" xfId="0" applyFont="1" applyFill="1" applyBorder="1" applyAlignment="1">
      <alignment vertical="center" wrapText="1"/>
    </xf>
    <xf numFmtId="0" fontId="56" fillId="0" borderId="12" xfId="0" applyFont="1" applyFill="1" applyBorder="1" applyAlignment="1">
      <alignment vertical="center" wrapText="1"/>
    </xf>
    <xf numFmtId="0" fontId="56" fillId="0" borderId="14" xfId="0" applyFont="1" applyFill="1" applyBorder="1" applyAlignment="1">
      <alignment vertical="center" wrapText="1"/>
    </xf>
    <xf numFmtId="0" fontId="56" fillId="0" borderId="14" xfId="0" applyFont="1" applyFill="1" applyBorder="1" applyAlignment="1">
      <alignment vertical="center"/>
    </xf>
    <xf numFmtId="0" fontId="56" fillId="0" borderId="0" xfId="0" applyFont="1" applyFill="1" applyAlignment="1">
      <alignment horizontal="left" vertical="center"/>
    </xf>
    <xf numFmtId="0" fontId="56" fillId="0" borderId="3" xfId="0" applyFont="1" applyFill="1" applyBorder="1" applyAlignment="1">
      <alignment horizontal="center" vertical="center" wrapText="1"/>
    </xf>
    <xf numFmtId="167" fontId="56" fillId="0" borderId="15" xfId="0" applyNumberFormat="1" applyFont="1" applyFill="1" applyBorder="1" applyAlignment="1">
      <alignment horizontal="center" vertical="center" wrapText="1"/>
    </xf>
    <xf numFmtId="167" fontId="56" fillId="0" borderId="15" xfId="0" applyNumberFormat="1" applyFont="1" applyFill="1" applyBorder="1" applyAlignment="1">
      <alignment vertical="center" wrapText="1"/>
    </xf>
    <xf numFmtId="167" fontId="58" fillId="0" borderId="3" xfId="0" applyNumberFormat="1" applyFont="1" applyFill="1" applyBorder="1" applyAlignment="1">
      <alignment horizontal="center" vertical="center" wrapText="1"/>
    </xf>
    <xf numFmtId="167" fontId="58" fillId="0" borderId="3" xfId="0" applyNumberFormat="1" applyFont="1" applyFill="1" applyBorder="1" applyAlignment="1">
      <alignment vertical="center" wrapText="1"/>
    </xf>
    <xf numFmtId="167" fontId="56" fillId="0" borderId="3" xfId="0" applyNumberFormat="1" applyFont="1" applyFill="1" applyBorder="1" applyAlignment="1">
      <alignment horizontal="center" vertical="center" wrapText="1"/>
    </xf>
    <xf numFmtId="175" fontId="56" fillId="0" borderId="3" xfId="0" applyNumberFormat="1" applyFont="1" applyFill="1" applyBorder="1" applyAlignment="1">
      <alignment horizontal="center" vertical="center" wrapText="1"/>
    </xf>
    <xf numFmtId="176" fontId="58" fillId="0" borderId="3" xfId="0" applyNumberFormat="1" applyFont="1" applyFill="1" applyBorder="1" applyAlignment="1">
      <alignment vertical="center" wrapText="1"/>
    </xf>
    <xf numFmtId="0" fontId="56" fillId="0" borderId="0" xfId="0" applyFont="1" applyFill="1" applyAlignment="1">
      <alignment vertical="center"/>
    </xf>
    <xf numFmtId="0" fontId="56" fillId="0" borderId="0" xfId="0" applyFont="1" applyAlignment="1">
      <alignment vertical="center"/>
    </xf>
    <xf numFmtId="0" fontId="56" fillId="0" borderId="0" xfId="0" applyFont="1" applyAlignment="1">
      <alignment horizontal="right" vertical="center"/>
    </xf>
    <xf numFmtId="0" fontId="56" fillId="0" borderId="0" xfId="0" applyFont="1" applyAlignment="1">
      <alignment horizontal="center" vertical="center"/>
    </xf>
    <xf numFmtId="0" fontId="56" fillId="0" borderId="0" xfId="0" applyFont="1" applyAlignment="1">
      <alignment horizontal="left" vertical="center"/>
    </xf>
    <xf numFmtId="0" fontId="60" fillId="0" borderId="0" xfId="0" applyFont="1" applyAlignment="1">
      <alignment horizontal="center" vertical="center"/>
    </xf>
    <xf numFmtId="0" fontId="63" fillId="0" borderId="0" xfId="0" applyFont="1" applyAlignment="1">
      <alignment horizontal="left" vertical="center"/>
    </xf>
    <xf numFmtId="0" fontId="56" fillId="0" borderId="16" xfId="0" applyFont="1" applyBorder="1" applyAlignment="1">
      <alignment horizontal="left" vertical="center"/>
    </xf>
    <xf numFmtId="0" fontId="56" fillId="0" borderId="17" xfId="0" applyFont="1" applyBorder="1" applyAlignment="1">
      <alignment horizontal="left" vertical="center"/>
    </xf>
    <xf numFmtId="0" fontId="56" fillId="0" borderId="14" xfId="0" applyFont="1" applyBorder="1" applyAlignment="1">
      <alignment vertical="center"/>
    </xf>
    <xf numFmtId="0" fontId="56" fillId="0" borderId="12" xfId="0" applyFont="1" applyBorder="1" applyAlignment="1">
      <alignment vertical="center"/>
    </xf>
    <xf numFmtId="0" fontId="56" fillId="0" borderId="3" xfId="0" applyFont="1" applyBorder="1" applyAlignment="1">
      <alignment vertical="center"/>
    </xf>
    <xf numFmtId="0" fontId="56" fillId="0" borderId="3" xfId="0" applyFont="1" applyBorder="1" applyAlignment="1">
      <alignment horizontal="center" vertical="center"/>
    </xf>
    <xf numFmtId="0" fontId="56" fillId="0" borderId="18" xfId="0" applyFont="1" applyBorder="1" applyAlignment="1">
      <alignment horizontal="left" vertical="center" wrapText="1"/>
    </xf>
    <xf numFmtId="0" fontId="56" fillId="0" borderId="17" xfId="0" applyFont="1" applyBorder="1" applyAlignment="1">
      <alignment horizontal="left" vertical="center" wrapText="1"/>
    </xf>
    <xf numFmtId="0" fontId="56" fillId="0" borderId="14" xfId="0" applyFont="1" applyBorder="1" applyAlignment="1">
      <alignment vertical="center" wrapText="1"/>
    </xf>
    <xf numFmtId="0" fontId="56" fillId="0" borderId="12" xfId="0" applyFont="1" applyBorder="1" applyAlignment="1">
      <alignment vertical="center" wrapText="1"/>
    </xf>
    <xf numFmtId="0" fontId="56" fillId="0" borderId="19" xfId="0" applyFont="1" applyBorder="1" applyAlignment="1">
      <alignment vertical="center"/>
    </xf>
    <xf numFmtId="0" fontId="56" fillId="0" borderId="3" xfId="0" applyFont="1" applyBorder="1" applyAlignment="1">
      <alignment vertical="center" wrapText="1"/>
    </xf>
    <xf numFmtId="0" fontId="58" fillId="0" borderId="0" xfId="0" applyFont="1" applyAlignment="1">
      <alignment horizontal="center" vertical="center"/>
    </xf>
    <xf numFmtId="0" fontId="56" fillId="0" borderId="3" xfId="0" applyFont="1" applyBorder="1" applyAlignment="1">
      <alignment horizontal="center" vertical="center" wrapText="1"/>
    </xf>
    <xf numFmtId="0" fontId="58" fillId="0" borderId="3" xfId="182" applyFont="1" applyBorder="1" applyAlignment="1">
      <alignment vertical="center" wrapText="1"/>
      <protection locked="0"/>
    </xf>
    <xf numFmtId="167" fontId="56" fillId="0" borderId="3" xfId="0" applyNumberFormat="1" applyFont="1" applyBorder="1" applyAlignment="1">
      <alignment horizontal="center" vertical="center" wrapText="1"/>
    </xf>
    <xf numFmtId="167" fontId="58" fillId="0" borderId="3" xfId="0" applyNumberFormat="1" applyFont="1" applyBorder="1" applyAlignment="1">
      <alignment horizontal="right" vertical="center" wrapText="1"/>
    </xf>
    <xf numFmtId="167" fontId="58" fillId="0" borderId="3" xfId="0" applyNumberFormat="1" applyFont="1" applyBorder="1" applyAlignment="1">
      <alignment horizontal="center" vertical="center" wrapText="1"/>
    </xf>
    <xf numFmtId="167" fontId="56" fillId="0" borderId="3" xfId="0" applyNumberFormat="1" applyFont="1" applyBorder="1" applyAlignment="1">
      <alignment horizontal="right" vertical="center" wrapText="1"/>
    </xf>
    <xf numFmtId="0" fontId="56" fillId="0" borderId="3" xfId="182" applyFont="1" applyBorder="1" applyAlignment="1">
      <alignment vertical="center" wrapText="1"/>
      <protection locked="0"/>
    </xf>
    <xf numFmtId="0" fontId="60" fillId="0" borderId="3" xfId="182" applyFont="1" applyBorder="1" applyAlignment="1">
      <alignment vertical="center" wrapText="1"/>
      <protection locked="0"/>
    </xf>
    <xf numFmtId="0" fontId="56" fillId="0" borderId="3" xfId="0" applyFont="1" applyBorder="1" applyAlignment="1" applyProtection="1">
      <alignment vertical="center" wrapText="1"/>
      <protection locked="0"/>
    </xf>
    <xf numFmtId="0" fontId="58" fillId="0" borderId="3" xfId="0" applyFont="1" applyBorder="1" applyAlignment="1" applyProtection="1">
      <alignment vertical="center" wrapText="1"/>
      <protection locked="0"/>
    </xf>
    <xf numFmtId="49" fontId="58" fillId="0" borderId="3" xfId="182" applyNumberFormat="1" applyFont="1" applyBorder="1" applyAlignment="1">
      <alignment vertical="center" wrapText="1"/>
      <protection locked="0"/>
    </xf>
    <xf numFmtId="49" fontId="56" fillId="0" borderId="3" xfId="182" applyNumberFormat="1" applyFont="1" applyBorder="1" applyAlignment="1">
      <alignment vertical="center" wrapText="1"/>
      <protection locked="0"/>
    </xf>
    <xf numFmtId="49" fontId="59" fillId="0" borderId="3" xfId="182" applyNumberFormat="1" applyFont="1" applyBorder="1" applyAlignment="1">
      <alignment vertical="center" wrapText="1"/>
      <protection locked="0"/>
    </xf>
    <xf numFmtId="0" fontId="58" fillId="0" borderId="3" xfId="0" applyFont="1" applyBorder="1" applyAlignment="1">
      <alignment vertical="center" wrapText="1"/>
    </xf>
    <xf numFmtId="0" fontId="58" fillId="0" borderId="3" xfId="245" applyFont="1" applyBorder="1" applyAlignment="1">
      <alignment horizontal="left" vertical="center" wrapText="1"/>
    </xf>
    <xf numFmtId="3" fontId="56" fillId="0" borderId="3" xfId="0" applyNumberFormat="1" applyFont="1" applyBorder="1" applyAlignment="1">
      <alignment horizontal="center" vertical="center" wrapText="1"/>
    </xf>
    <xf numFmtId="0" fontId="56" fillId="0" borderId="3" xfId="0" applyFont="1" applyBorder="1" applyAlignment="1">
      <alignment horizontal="left" vertical="center" wrapText="1"/>
    </xf>
    <xf numFmtId="0" fontId="56" fillId="0" borderId="3" xfId="245" applyFont="1" applyBorder="1" applyAlignment="1">
      <alignment horizontal="left" vertical="center" wrapText="1"/>
    </xf>
    <xf numFmtId="175" fontId="56" fillId="0" borderId="3" xfId="0" applyNumberFormat="1" applyFont="1" applyBorder="1" applyAlignment="1">
      <alignment horizontal="center" vertical="center" wrapText="1"/>
    </xf>
    <xf numFmtId="0" fontId="56" fillId="0" borderId="3" xfId="0" applyFont="1" applyBorder="1" applyAlignment="1" applyProtection="1">
      <alignment horizontal="left" vertical="center" wrapText="1"/>
      <protection locked="0"/>
    </xf>
    <xf numFmtId="0" fontId="58" fillId="0" borderId="3" xfId="0" applyFont="1" applyBorder="1" applyAlignment="1" applyProtection="1">
      <alignment horizontal="left" vertical="center" wrapText="1"/>
      <protection locked="0"/>
    </xf>
    <xf numFmtId="167" fontId="58" fillId="0" borderId="3" xfId="0" applyNumberFormat="1" applyFont="1" applyBorder="1" applyAlignment="1">
      <alignment vertical="center" wrapText="1"/>
    </xf>
    <xf numFmtId="167" fontId="56" fillId="0" borderId="3" xfId="0" applyNumberFormat="1" applyFont="1" applyBorder="1" applyAlignment="1">
      <alignment vertical="center" wrapText="1"/>
    </xf>
    <xf numFmtId="3" fontId="56" fillId="0" borderId="3" xfId="0" applyNumberFormat="1" applyFont="1" applyBorder="1" applyAlignment="1">
      <alignment vertical="center" wrapText="1"/>
    </xf>
    <xf numFmtId="0" fontId="56" fillId="0" borderId="3" xfId="245" applyFont="1" applyBorder="1" applyAlignment="1">
      <alignment horizontal="center" vertical="center"/>
    </xf>
    <xf numFmtId="3" fontId="56" fillId="0" borderId="3" xfId="0" applyNumberFormat="1" applyFont="1" applyBorder="1" applyAlignment="1">
      <alignment horizontal="right" vertical="center" wrapText="1"/>
    </xf>
    <xf numFmtId="0" fontId="56" fillId="0" borderId="0" xfId="0" applyFont="1" applyAlignment="1">
      <alignment vertical="center" wrapText="1"/>
    </xf>
    <xf numFmtId="0" fontId="56" fillId="0" borderId="15" xfId="0" applyFont="1" applyBorder="1" applyAlignment="1" applyProtection="1">
      <alignment horizontal="left" vertical="center" wrapText="1"/>
      <protection locked="0"/>
    </xf>
    <xf numFmtId="0" fontId="56" fillId="0" borderId="15" xfId="0" applyFont="1" applyBorder="1" applyAlignment="1">
      <alignment horizontal="center" vertical="center"/>
    </xf>
    <xf numFmtId="180" fontId="65" fillId="0" borderId="3" xfId="237" applyNumberFormat="1" applyFont="1" applyBorder="1" applyAlignment="1">
      <alignment horizontal="center" vertical="center" wrapText="1"/>
    </xf>
    <xf numFmtId="0" fontId="56" fillId="0" borderId="19" xfId="0" applyFont="1" applyBorder="1" applyAlignment="1" applyProtection="1">
      <alignment horizontal="left" vertical="center" wrapText="1"/>
      <protection locked="0"/>
    </xf>
    <xf numFmtId="0" fontId="56" fillId="0" borderId="19" xfId="0" applyFont="1" applyBorder="1" applyAlignment="1">
      <alignment horizontal="center" vertical="center"/>
    </xf>
    <xf numFmtId="180" fontId="56" fillId="0" borderId="3" xfId="237" applyNumberFormat="1" applyFont="1" applyBorder="1" applyAlignment="1">
      <alignment horizontal="center" vertical="center" wrapText="1"/>
    </xf>
    <xf numFmtId="0" fontId="58" fillId="0" borderId="0" xfId="0" applyFont="1" applyAlignment="1">
      <alignment vertical="center"/>
    </xf>
    <xf numFmtId="0" fontId="58" fillId="0" borderId="15" xfId="0" applyFont="1" applyBorder="1" applyAlignment="1" applyProtection="1">
      <alignment horizontal="left" vertical="center" wrapText="1"/>
      <protection locked="0"/>
    </xf>
    <xf numFmtId="49" fontId="56" fillId="0" borderId="15" xfId="0" applyNumberFormat="1" applyFont="1" applyBorder="1" applyAlignment="1">
      <alignment horizontal="center" vertical="center"/>
    </xf>
    <xf numFmtId="49" fontId="56" fillId="0" borderId="3" xfId="0" applyNumberFormat="1" applyFont="1" applyBorder="1" applyAlignment="1">
      <alignment horizontal="center" vertical="center"/>
    </xf>
    <xf numFmtId="49" fontId="56" fillId="0" borderId="19" xfId="0" applyNumberFormat="1" applyFont="1" applyBorder="1" applyAlignment="1">
      <alignment horizontal="center" vertical="center"/>
    </xf>
    <xf numFmtId="0" fontId="58" fillId="0" borderId="3" xfId="0" applyFont="1" applyBorder="1" applyAlignment="1">
      <alignment horizontal="left" vertical="center" wrapText="1"/>
    </xf>
    <xf numFmtId="176" fontId="58" fillId="0" borderId="3" xfId="0" applyNumberFormat="1" applyFont="1" applyBorder="1" applyAlignment="1">
      <alignment horizontal="right" vertical="center" wrapText="1"/>
    </xf>
    <xf numFmtId="176" fontId="58" fillId="0" borderId="3" xfId="0" applyNumberFormat="1" applyFont="1" applyBorder="1" applyAlignment="1">
      <alignment vertical="center" wrapText="1"/>
    </xf>
    <xf numFmtId="176" fontId="56" fillId="0" borderId="3" xfId="0" applyNumberFormat="1" applyFont="1" applyBorder="1" applyAlignment="1">
      <alignment horizontal="right" vertical="center" wrapText="1"/>
    </xf>
    <xf numFmtId="176" fontId="56" fillId="0" borderId="3" xfId="0" applyNumberFormat="1" applyFont="1" applyBorder="1" applyAlignment="1">
      <alignment vertical="center" wrapText="1"/>
    </xf>
    <xf numFmtId="176" fontId="56" fillId="0" borderId="3" xfId="0" applyNumberFormat="1" applyFont="1" applyBorder="1" applyAlignment="1">
      <alignment horizontal="center" vertical="center" wrapText="1"/>
    </xf>
    <xf numFmtId="0" fontId="58" fillId="0" borderId="0" xfId="0" applyFont="1" applyAlignment="1" applyProtection="1">
      <alignment horizontal="left" vertical="center"/>
      <protection locked="0"/>
    </xf>
    <xf numFmtId="175" fontId="58" fillId="0" borderId="0" xfId="0" applyNumberFormat="1" applyFont="1" applyAlignment="1">
      <alignment horizontal="center" vertical="center" wrapText="1"/>
    </xf>
    <xf numFmtId="175" fontId="58" fillId="0" borderId="0" xfId="0" applyNumberFormat="1" applyFont="1" applyAlignment="1">
      <alignment horizontal="right" vertical="center" wrapText="1"/>
    </xf>
    <xf numFmtId="175" fontId="56" fillId="0" borderId="0" xfId="0" applyNumberFormat="1" applyFont="1" applyAlignment="1">
      <alignment horizontal="center" vertical="center" wrapText="1"/>
    </xf>
    <xf numFmtId="0" fontId="58" fillId="0" borderId="0" xfId="0" applyFont="1" applyAlignment="1">
      <alignment horizontal="left" vertical="center" wrapText="1"/>
    </xf>
    <xf numFmtId="0" fontId="66" fillId="0" borderId="0" xfId="0" applyFont="1" applyAlignment="1">
      <alignment horizontal="center" wrapText="1"/>
    </xf>
    <xf numFmtId="0" fontId="67" fillId="25" borderId="0" xfId="0" applyFont="1" applyFill="1" applyAlignment="1">
      <alignment horizontal="center" vertical="top" wrapText="1"/>
    </xf>
    <xf numFmtId="0" fontId="67" fillId="25" borderId="0" xfId="0" applyFont="1" applyFill="1" applyAlignment="1">
      <alignment horizontal="center" vertical="center" wrapText="1"/>
    </xf>
    <xf numFmtId="0" fontId="68" fillId="0" borderId="0" xfId="0" applyFont="1" applyAlignment="1">
      <alignment horizontal="center" wrapText="1"/>
    </xf>
    <xf numFmtId="0" fontId="0" fillId="0" borderId="0" xfId="0" applyAlignment="1">
      <alignment horizontal="center" wrapText="1"/>
    </xf>
    <xf numFmtId="0" fontId="64" fillId="0" borderId="16" xfId="0" applyFont="1" applyFill="1" applyBorder="1" applyAlignment="1">
      <alignment horizontal="left" vertical="center"/>
    </xf>
    <xf numFmtId="0" fontId="56" fillId="0" borderId="20" xfId="0" applyFont="1" applyFill="1" applyBorder="1" applyAlignment="1">
      <alignment horizontal="left" vertical="center" wrapText="1"/>
    </xf>
    <xf numFmtId="0" fontId="56" fillId="0" borderId="20" xfId="0" applyFont="1" applyFill="1" applyBorder="1" applyAlignment="1">
      <alignment vertical="center" wrapText="1"/>
    </xf>
    <xf numFmtId="0" fontId="58" fillId="0" borderId="0" xfId="0" applyFont="1" applyFill="1" applyAlignment="1">
      <alignment horizontal="center" vertical="center"/>
    </xf>
    <xf numFmtId="167" fontId="58" fillId="0" borderId="3" xfId="0" applyNumberFormat="1" applyFont="1" applyFill="1" applyBorder="1" applyAlignment="1">
      <alignment horizontal="right" vertical="center" wrapText="1"/>
    </xf>
    <xf numFmtId="167" fontId="56" fillId="0" borderId="3" xfId="0" applyNumberFormat="1" applyFont="1" applyFill="1" applyBorder="1" applyAlignment="1">
      <alignment horizontal="right" vertical="center" wrapText="1"/>
    </xf>
    <xf numFmtId="3" fontId="56" fillId="0" borderId="3" xfId="0" applyNumberFormat="1" applyFont="1" applyFill="1" applyBorder="1" applyAlignment="1">
      <alignment horizontal="center" vertical="center" wrapText="1"/>
    </xf>
    <xf numFmtId="3" fontId="56" fillId="0" borderId="3" xfId="0" applyNumberFormat="1" applyFont="1" applyFill="1" applyBorder="1" applyAlignment="1">
      <alignment vertical="center" wrapText="1"/>
    </xf>
    <xf numFmtId="3" fontId="56" fillId="0" borderId="3" xfId="0" applyNumberFormat="1" applyFont="1" applyFill="1" applyBorder="1" applyAlignment="1">
      <alignment horizontal="right" vertical="center" wrapText="1"/>
    </xf>
    <xf numFmtId="176" fontId="56" fillId="0" borderId="3" xfId="0" applyNumberFormat="1" applyFont="1" applyFill="1" applyBorder="1" applyAlignment="1">
      <alignment vertical="center" wrapText="1"/>
    </xf>
    <xf numFmtId="175" fontId="56" fillId="0" borderId="0" xfId="0" applyNumberFormat="1" applyFont="1" applyFill="1" applyAlignment="1">
      <alignment horizontal="center" vertical="center" wrapText="1"/>
    </xf>
    <xf numFmtId="175" fontId="60" fillId="0" borderId="0" xfId="0" applyNumberFormat="1" applyFont="1" applyFill="1" applyAlignment="1">
      <alignment vertical="center"/>
    </xf>
    <xf numFmtId="0" fontId="56" fillId="0" borderId="16" xfId="0" applyFont="1" applyFill="1" applyBorder="1" applyAlignment="1">
      <alignment horizontal="left" vertical="center"/>
    </xf>
    <xf numFmtId="0" fontId="56" fillId="0" borderId="21" xfId="0" applyFont="1" applyFill="1" applyBorder="1" applyAlignment="1">
      <alignment vertical="center" wrapText="1"/>
    </xf>
    <xf numFmtId="167" fontId="56" fillId="0" borderId="0" xfId="0" applyNumberFormat="1" applyFont="1" applyAlignment="1">
      <alignment horizontal="center" vertical="center"/>
    </xf>
    <xf numFmtId="0" fontId="72" fillId="0" borderId="0" xfId="0" applyFont="1" applyFill="1" applyBorder="1" applyAlignment="1">
      <alignment vertical="center"/>
    </xf>
    <xf numFmtId="0" fontId="72" fillId="0" borderId="0" xfId="0" applyFont="1" applyFill="1" applyBorder="1" applyAlignment="1">
      <alignment horizontal="right" vertical="center"/>
    </xf>
    <xf numFmtId="0" fontId="73" fillId="0" borderId="0" xfId="0" applyFont="1" applyFill="1"/>
    <xf numFmtId="0" fontId="74" fillId="0" borderId="0" xfId="0" applyFont="1" applyFill="1" applyBorder="1" applyAlignment="1">
      <alignment vertical="center"/>
    </xf>
    <xf numFmtId="0" fontId="72" fillId="0" borderId="0" xfId="0" applyFont="1" applyFill="1" applyBorder="1" applyAlignment="1">
      <alignment horizontal="center" vertical="center"/>
    </xf>
    <xf numFmtId="0" fontId="73" fillId="0" borderId="0" xfId="0" applyFont="1" applyAlignment="1">
      <alignment vertical="top" wrapText="1"/>
    </xf>
    <xf numFmtId="0" fontId="72" fillId="0" borderId="0" xfId="0" applyFont="1" applyFill="1" applyBorder="1" applyAlignment="1">
      <alignment horizontal="left" vertical="center"/>
    </xf>
    <xf numFmtId="0" fontId="72" fillId="0" borderId="0" xfId="0" applyFont="1" applyFill="1" applyAlignment="1">
      <alignment horizontal="center" vertical="center"/>
    </xf>
    <xf numFmtId="0" fontId="72" fillId="0" borderId="17" xfId="0" applyFont="1" applyFill="1" applyBorder="1" applyAlignment="1">
      <alignment horizontal="left" vertical="center"/>
    </xf>
    <xf numFmtId="0" fontId="72" fillId="0" borderId="12" xfId="0" applyFont="1" applyFill="1" applyBorder="1" applyAlignment="1">
      <alignment vertical="center"/>
    </xf>
    <xf numFmtId="0" fontId="72" fillId="0" borderId="12" xfId="0" applyFont="1" applyFill="1" applyBorder="1" applyAlignment="1">
      <alignment horizontal="left" vertical="center"/>
    </xf>
    <xf numFmtId="0" fontId="72" fillId="0" borderId="3" xfId="0" applyFont="1" applyFill="1" applyBorder="1" applyAlignment="1">
      <alignment horizontal="center" vertical="center"/>
    </xf>
    <xf numFmtId="0" fontId="72" fillId="0" borderId="18" xfId="0" applyFont="1" applyFill="1" applyBorder="1" applyAlignment="1">
      <alignment vertical="center" wrapText="1"/>
    </xf>
    <xf numFmtId="0" fontId="72" fillId="0" borderId="3" xfId="0" applyFont="1" applyFill="1" applyBorder="1" applyAlignment="1">
      <alignment vertical="center"/>
    </xf>
    <xf numFmtId="49" fontId="72" fillId="0" borderId="3" xfId="0" applyNumberFormat="1" applyFont="1" applyFill="1" applyBorder="1" applyAlignment="1">
      <alignment horizontal="center" vertical="center"/>
    </xf>
    <xf numFmtId="0" fontId="72" fillId="0" borderId="17" xfId="0" applyFont="1" applyFill="1" applyBorder="1" applyAlignment="1">
      <alignment vertical="center"/>
    </xf>
    <xf numFmtId="0" fontId="72" fillId="0" borderId="17" xfId="0" applyFont="1" applyFill="1" applyBorder="1" applyAlignment="1">
      <alignment vertical="center" wrapText="1"/>
    </xf>
    <xf numFmtId="0" fontId="72" fillId="0" borderId="12" xfId="0" applyFont="1" applyFill="1" applyBorder="1" applyAlignment="1">
      <alignment vertical="center" wrapText="1"/>
    </xf>
    <xf numFmtId="0" fontId="72" fillId="0" borderId="3" xfId="0" applyFont="1" applyFill="1" applyBorder="1" applyAlignment="1">
      <alignment vertical="center" wrapText="1"/>
    </xf>
    <xf numFmtId="0" fontId="72" fillId="0" borderId="14" xfId="0" applyFont="1" applyFill="1" applyBorder="1" applyAlignment="1">
      <alignment vertical="center" wrapText="1"/>
    </xf>
    <xf numFmtId="0" fontId="72" fillId="0" borderId="14" xfId="0" applyFont="1" applyFill="1" applyBorder="1" applyAlignment="1">
      <alignment vertical="center"/>
    </xf>
    <xf numFmtId="0" fontId="75" fillId="0" borderId="0" xfId="0" applyFont="1" applyFill="1" applyBorder="1" applyAlignment="1">
      <alignment horizontal="center" vertical="center"/>
    </xf>
    <xf numFmtId="0" fontId="72" fillId="0" borderId="0" xfId="0" applyFont="1" applyFill="1" applyAlignment="1">
      <alignment horizontal="left" vertical="center"/>
    </xf>
    <xf numFmtId="0" fontId="75" fillId="0" borderId="0" xfId="0" applyFont="1" applyFill="1" applyBorder="1" applyAlignment="1">
      <alignment vertical="center"/>
    </xf>
    <xf numFmtId="167" fontId="75" fillId="0" borderId="0" xfId="0" applyNumberFormat="1" applyFont="1" applyFill="1" applyBorder="1" applyAlignment="1">
      <alignment vertical="center"/>
    </xf>
    <xf numFmtId="179" fontId="75" fillId="0" borderId="0" xfId="0" applyNumberFormat="1" applyFont="1" applyFill="1" applyBorder="1" applyAlignment="1">
      <alignment vertical="center"/>
    </xf>
    <xf numFmtId="180" fontId="75" fillId="0" borderId="0" xfId="0" applyNumberFormat="1" applyFont="1" applyFill="1" applyBorder="1" applyAlignment="1">
      <alignment vertical="center"/>
    </xf>
    <xf numFmtId="175" fontId="75" fillId="0" borderId="0" xfId="0" applyNumberFormat="1" applyFont="1" applyFill="1" applyBorder="1" applyAlignment="1">
      <alignment vertical="center"/>
    </xf>
    <xf numFmtId="181" fontId="75" fillId="0" borderId="0" xfId="0" applyNumberFormat="1" applyFont="1" applyFill="1" applyBorder="1" applyAlignment="1">
      <alignment vertical="center"/>
    </xf>
    <xf numFmtId="0" fontId="72" fillId="0" borderId="0" xfId="0" applyFont="1" applyFill="1" applyBorder="1" applyAlignment="1">
      <alignment horizontal="left" vertical="center" wrapText="1"/>
    </xf>
    <xf numFmtId="49" fontId="72" fillId="0" borderId="0" xfId="0" applyNumberFormat="1" applyFont="1" applyFill="1" applyBorder="1" applyAlignment="1">
      <alignment horizontal="center" vertical="center"/>
    </xf>
    <xf numFmtId="167" fontId="72" fillId="0" borderId="0" xfId="0" applyNumberFormat="1" applyFont="1" applyFill="1" applyBorder="1" applyAlignment="1">
      <alignment horizontal="center" vertical="center" wrapText="1"/>
    </xf>
    <xf numFmtId="167" fontId="77" fillId="0" borderId="0" xfId="0" applyNumberFormat="1" applyFont="1" applyFill="1" applyBorder="1" applyAlignment="1">
      <alignment horizontal="center" vertical="center" wrapText="1"/>
    </xf>
    <xf numFmtId="175" fontId="77" fillId="0" borderId="0" xfId="0" applyNumberFormat="1" applyFont="1" applyFill="1" applyBorder="1" applyAlignment="1">
      <alignment horizontal="center" vertical="center" wrapText="1"/>
    </xf>
    <xf numFmtId="0" fontId="75" fillId="0" borderId="0" xfId="0" applyFont="1" applyFill="1" applyBorder="1" applyAlignment="1">
      <alignment horizontal="left" vertical="center" wrapText="1"/>
    </xf>
    <xf numFmtId="0" fontId="72" fillId="0" borderId="0" xfId="0" applyFont="1" applyFill="1" applyAlignment="1">
      <alignment vertical="center"/>
    </xf>
    <xf numFmtId="0" fontId="75" fillId="0" borderId="0" xfId="0" applyFont="1" applyFill="1" applyBorder="1" applyAlignment="1" applyProtection="1">
      <alignment horizontal="left" vertical="center"/>
      <protection locked="0"/>
    </xf>
    <xf numFmtId="0" fontId="72" fillId="0" borderId="0" xfId="0" applyFont="1" applyFill="1" applyBorder="1" applyAlignment="1">
      <alignment vertical="center" wrapText="1"/>
    </xf>
    <xf numFmtId="0" fontId="65" fillId="0" borderId="0" xfId="0" applyFont="1" applyFill="1" applyBorder="1" applyAlignment="1">
      <alignment vertical="center"/>
    </xf>
    <xf numFmtId="0" fontId="72" fillId="0" borderId="22" xfId="0" applyFont="1" applyFill="1" applyBorder="1" applyAlignment="1">
      <alignment horizontal="center" vertical="center"/>
    </xf>
    <xf numFmtId="0" fontId="72" fillId="0" borderId="22" xfId="0" applyFont="1" applyFill="1" applyBorder="1" applyAlignment="1">
      <alignment horizontal="center" vertical="center" wrapText="1"/>
    </xf>
    <xf numFmtId="0" fontId="72" fillId="0" borderId="22" xfId="245" applyFont="1" applyFill="1" applyBorder="1" applyAlignment="1">
      <alignment horizontal="center" vertical="center"/>
    </xf>
    <xf numFmtId="0" fontId="75" fillId="0" borderId="22" xfId="182" applyNumberFormat="1" applyFont="1" applyFill="1" applyBorder="1" applyAlignment="1">
      <alignment vertical="center" wrapText="1"/>
      <protection locked="0"/>
    </xf>
    <xf numFmtId="167" fontId="72" fillId="0" borderId="22" xfId="0" applyNumberFormat="1" applyFont="1" applyFill="1" applyBorder="1" applyAlignment="1">
      <alignment vertical="center" wrapText="1"/>
    </xf>
    <xf numFmtId="175" fontId="72" fillId="0" borderId="22" xfId="0" applyNumberFormat="1" applyFont="1" applyFill="1" applyBorder="1" applyAlignment="1">
      <alignment horizontal="right" vertical="center" wrapText="1"/>
    </xf>
    <xf numFmtId="167" fontId="72" fillId="0" borderId="22" xfId="0" applyNumberFormat="1" applyFont="1" applyFill="1" applyBorder="1" applyAlignment="1">
      <alignment horizontal="center" vertical="center" wrapText="1"/>
    </xf>
    <xf numFmtId="0" fontId="72" fillId="0" borderId="22" xfId="182" applyNumberFormat="1" applyFont="1" applyFill="1" applyBorder="1" applyAlignment="1">
      <alignment vertical="center" wrapText="1"/>
      <protection locked="0"/>
    </xf>
    <xf numFmtId="0" fontId="77" fillId="0" borderId="22" xfId="182" applyNumberFormat="1" applyFont="1" applyFill="1" applyBorder="1" applyAlignment="1">
      <alignment vertical="center" wrapText="1"/>
      <protection locked="0"/>
    </xf>
    <xf numFmtId="167" fontId="75" fillId="0" borderId="22" xfId="0" applyNumberFormat="1" applyFont="1" applyFill="1" applyBorder="1" applyAlignment="1">
      <alignment horizontal="center" vertical="center" wrapText="1"/>
    </xf>
    <xf numFmtId="175" fontId="75" fillId="0" borderId="22" xfId="0" applyNumberFormat="1" applyFont="1" applyFill="1" applyBorder="1" applyAlignment="1">
      <alignment horizontal="right" vertical="center" wrapText="1"/>
    </xf>
    <xf numFmtId="0" fontId="72" fillId="0" borderId="22" xfId="0" applyFont="1" applyFill="1" applyBorder="1" applyAlignment="1">
      <alignment vertical="center" wrapText="1"/>
    </xf>
    <xf numFmtId="0" fontId="72" fillId="0" borderId="22" xfId="0" applyFont="1" applyFill="1" applyBorder="1" applyAlignment="1" applyProtection="1">
      <alignment vertical="center" wrapText="1"/>
      <protection locked="0"/>
    </xf>
    <xf numFmtId="0" fontId="75" fillId="0" borderId="22" xfId="0" applyFont="1" applyFill="1" applyBorder="1" applyAlignment="1" applyProtection="1">
      <alignment vertical="center" wrapText="1"/>
      <protection locked="0"/>
    </xf>
    <xf numFmtId="49" fontId="75" fillId="0" borderId="22" xfId="182" applyNumberFormat="1" applyFont="1" applyFill="1" applyBorder="1" applyAlignment="1">
      <alignment vertical="center" wrapText="1"/>
      <protection locked="0"/>
    </xf>
    <xf numFmtId="49" fontId="72" fillId="0" borderId="22" xfId="182" applyNumberFormat="1" applyFont="1" applyFill="1" applyBorder="1" applyAlignment="1">
      <alignment vertical="center" wrapText="1"/>
      <protection locked="0"/>
    </xf>
    <xf numFmtId="49" fontId="76" fillId="0" borderId="22" xfId="182" applyNumberFormat="1" applyFont="1" applyFill="1" applyBorder="1" applyAlignment="1">
      <alignment vertical="center" wrapText="1"/>
      <protection locked="0"/>
    </xf>
    <xf numFmtId="176" fontId="75" fillId="0" borderId="22" xfId="0" applyNumberFormat="1" applyFont="1" applyFill="1" applyBorder="1" applyAlignment="1">
      <alignment horizontal="center" vertical="center" wrapText="1"/>
    </xf>
    <xf numFmtId="167" fontId="75" fillId="0" borderId="22" xfId="0" applyNumberFormat="1" applyFont="1" applyFill="1" applyBorder="1" applyAlignment="1">
      <alignment vertical="center" wrapText="1"/>
    </xf>
    <xf numFmtId="0" fontId="75" fillId="0" borderId="22" xfId="0" applyFont="1" applyFill="1" applyBorder="1" applyAlignment="1">
      <alignment vertical="center" wrapText="1"/>
    </xf>
    <xf numFmtId="0" fontId="75" fillId="0" borderId="22" xfId="245" applyFont="1" applyFill="1" applyBorder="1" applyAlignment="1">
      <alignment horizontal="left" vertical="center" wrapText="1"/>
    </xf>
    <xf numFmtId="0" fontId="72" fillId="0" borderId="22" xfId="0" applyFont="1" applyFill="1" applyBorder="1" applyAlignment="1">
      <alignment horizontal="left" vertical="center" wrapText="1"/>
    </xf>
    <xf numFmtId="0" fontId="72" fillId="0" borderId="22" xfId="245" applyFont="1" applyFill="1" applyBorder="1" applyAlignment="1">
      <alignment horizontal="left" vertical="center" wrapText="1"/>
    </xf>
    <xf numFmtId="0" fontId="72" fillId="0" borderId="22" xfId="0" applyFont="1" applyFill="1" applyBorder="1" applyAlignment="1" applyProtection="1">
      <alignment horizontal="left" vertical="center" wrapText="1"/>
      <protection locked="0"/>
    </xf>
    <xf numFmtId="0" fontId="75" fillId="0" borderId="22" xfId="0" applyFont="1" applyFill="1" applyBorder="1" applyAlignment="1" applyProtection="1">
      <alignment horizontal="left" vertical="center" wrapText="1"/>
      <protection locked="0"/>
    </xf>
    <xf numFmtId="0" fontId="72" fillId="0" borderId="22" xfId="0" applyNumberFormat="1" applyFont="1" applyFill="1" applyBorder="1" applyAlignment="1">
      <alignment horizontal="center" vertical="center" wrapText="1"/>
    </xf>
    <xf numFmtId="0" fontId="72" fillId="0" borderId="22" xfId="0" applyNumberFormat="1" applyFont="1" applyFill="1" applyBorder="1" applyAlignment="1">
      <alignment horizontal="center" vertical="center"/>
    </xf>
    <xf numFmtId="176" fontId="72" fillId="0" borderId="22" xfId="0" applyNumberFormat="1" applyFont="1" applyFill="1" applyBorder="1" applyAlignment="1">
      <alignment horizontal="center" vertical="center" wrapText="1"/>
    </xf>
    <xf numFmtId="175" fontId="72" fillId="0" borderId="22" xfId="0" applyNumberFormat="1" applyFont="1" applyFill="1" applyBorder="1" applyAlignment="1">
      <alignment horizontal="center" vertical="center" wrapText="1"/>
    </xf>
    <xf numFmtId="175" fontId="72" fillId="0" borderId="22" xfId="0" applyNumberFormat="1" applyFont="1" applyFill="1" applyBorder="1" applyAlignment="1">
      <alignment vertical="center" wrapText="1"/>
    </xf>
    <xf numFmtId="49" fontId="72" fillId="0" borderId="22" xfId="0" applyNumberFormat="1" applyFont="1" applyFill="1" applyBorder="1" applyAlignment="1">
      <alignment horizontal="center" vertical="center"/>
    </xf>
    <xf numFmtId="0" fontId="75" fillId="0" borderId="22" xfId="0" applyFont="1" applyFill="1" applyBorder="1" applyAlignment="1">
      <alignment horizontal="left" vertical="center" wrapText="1"/>
    </xf>
    <xf numFmtId="176" fontId="75" fillId="0" borderId="22" xfId="0" applyNumberFormat="1" applyFont="1" applyFill="1" applyBorder="1" applyAlignment="1">
      <alignment vertical="center" wrapText="1"/>
    </xf>
    <xf numFmtId="176" fontId="72" fillId="0" borderId="22" xfId="0" applyNumberFormat="1" applyFont="1" applyFill="1" applyBorder="1" applyAlignment="1">
      <alignment vertical="center" wrapText="1"/>
    </xf>
    <xf numFmtId="0" fontId="78" fillId="0" borderId="0" xfId="0" applyFont="1" applyFill="1" applyBorder="1" applyAlignment="1">
      <alignment vertical="center"/>
    </xf>
    <xf numFmtId="167" fontId="78" fillId="0" borderId="22" xfId="0" applyNumberFormat="1" applyFont="1" applyFill="1" applyBorder="1" applyAlignment="1">
      <alignment vertical="center" wrapText="1"/>
    </xf>
    <xf numFmtId="175" fontId="78" fillId="0" borderId="22" xfId="0" applyNumberFormat="1" applyFont="1" applyFill="1" applyBorder="1" applyAlignment="1">
      <alignment horizontal="right" vertical="center" wrapText="1"/>
    </xf>
    <xf numFmtId="167" fontId="78" fillId="0" borderId="22" xfId="0" applyNumberFormat="1" applyFont="1" applyFill="1" applyBorder="1" applyAlignment="1">
      <alignment horizontal="center" vertical="center" wrapText="1"/>
    </xf>
    <xf numFmtId="167" fontId="79" fillId="0" borderId="22" xfId="0" applyNumberFormat="1" applyFont="1" applyFill="1" applyBorder="1" applyAlignment="1">
      <alignment horizontal="center" vertical="center" wrapText="1"/>
    </xf>
    <xf numFmtId="175" fontId="79" fillId="0" borderId="22" xfId="0" applyNumberFormat="1" applyFont="1" applyFill="1" applyBorder="1" applyAlignment="1">
      <alignment horizontal="right" vertical="center" wrapText="1"/>
    </xf>
    <xf numFmtId="167" fontId="79" fillId="0" borderId="22" xfId="0" applyNumberFormat="1" applyFont="1" applyFill="1" applyBorder="1" applyAlignment="1">
      <alignment vertical="center" wrapText="1"/>
    </xf>
    <xf numFmtId="176" fontId="79" fillId="0" borderId="22" xfId="0" applyNumberFormat="1" applyFont="1" applyFill="1" applyBorder="1" applyAlignment="1">
      <alignment vertical="center" wrapText="1"/>
    </xf>
    <xf numFmtId="3" fontId="75" fillId="0" borderId="22" xfId="0" applyNumberFormat="1" applyFont="1" applyFill="1" applyBorder="1" applyAlignment="1">
      <alignment horizontal="right" vertical="center" wrapText="1"/>
    </xf>
    <xf numFmtId="0" fontId="72" fillId="0" borderId="3" xfId="0" applyFont="1" applyFill="1" applyBorder="1" applyAlignment="1">
      <alignment horizontal="center" vertical="center" wrapText="1"/>
    </xf>
    <xf numFmtId="0" fontId="72" fillId="0" borderId="19" xfId="0" applyFont="1" applyFill="1" applyBorder="1" applyAlignment="1">
      <alignment horizontal="center" vertical="center" wrapText="1"/>
    </xf>
    <xf numFmtId="167" fontId="72" fillId="0" borderId="15" xfId="0" applyNumberFormat="1" applyFont="1" applyFill="1" applyBorder="1" applyAlignment="1">
      <alignment vertical="center" wrapText="1"/>
    </xf>
    <xf numFmtId="167" fontId="72" fillId="0" borderId="15" xfId="0" applyNumberFormat="1" applyFont="1" applyFill="1" applyBorder="1" applyAlignment="1">
      <alignment horizontal="center" vertical="center" wrapText="1"/>
    </xf>
    <xf numFmtId="167" fontId="75" fillId="0" borderId="3" xfId="0" applyNumberFormat="1" applyFont="1" applyFill="1" applyBorder="1" applyAlignment="1">
      <alignment horizontal="center" vertical="center" wrapText="1"/>
    </xf>
    <xf numFmtId="167" fontId="72" fillId="0" borderId="3" xfId="0" applyNumberFormat="1" applyFont="1" applyFill="1" applyBorder="1" applyAlignment="1">
      <alignment vertical="center" wrapText="1"/>
    </xf>
    <xf numFmtId="175" fontId="75" fillId="0" borderId="15" xfId="0" applyNumberFormat="1" applyFont="1" applyFill="1" applyBorder="1" applyAlignment="1">
      <alignment horizontal="right" vertical="center" wrapText="1"/>
    </xf>
    <xf numFmtId="176" fontId="72" fillId="0" borderId="15" xfId="0" applyNumberFormat="1" applyFont="1" applyFill="1" applyBorder="1" applyAlignment="1">
      <alignment horizontal="center" vertical="center" wrapText="1"/>
    </xf>
    <xf numFmtId="176" fontId="75" fillId="0" borderId="3" xfId="0" applyNumberFormat="1" applyFont="1" applyFill="1" applyBorder="1" applyAlignment="1">
      <alignment horizontal="center" vertical="center" wrapText="1"/>
    </xf>
    <xf numFmtId="167" fontId="75" fillId="0" borderId="3" xfId="0" applyNumberFormat="1" applyFont="1" applyFill="1" applyBorder="1" applyAlignment="1">
      <alignment vertical="center" wrapText="1"/>
    </xf>
    <xf numFmtId="167" fontId="72" fillId="0" borderId="3" xfId="0" applyNumberFormat="1" applyFont="1" applyFill="1" applyBorder="1" applyAlignment="1">
      <alignment horizontal="center" vertical="center" wrapText="1"/>
    </xf>
    <xf numFmtId="167" fontId="75" fillId="0" borderId="15" xfId="0" applyNumberFormat="1" applyFont="1" applyFill="1" applyBorder="1" applyAlignment="1">
      <alignment horizontal="center" vertical="center" wrapText="1"/>
    </xf>
    <xf numFmtId="176" fontId="72" fillId="0" borderId="3" xfId="0" applyNumberFormat="1" applyFont="1" applyFill="1" applyBorder="1" applyAlignment="1">
      <alignment horizontal="center" vertical="center" wrapText="1"/>
    </xf>
    <xf numFmtId="176" fontId="72" fillId="0" borderId="19" xfId="0" applyNumberFormat="1" applyFont="1" applyFill="1" applyBorder="1" applyAlignment="1">
      <alignment horizontal="center" vertical="center" wrapText="1"/>
    </xf>
    <xf numFmtId="176" fontId="72" fillId="0" borderId="23" xfId="0" applyNumberFormat="1" applyFont="1" applyFill="1" applyBorder="1" applyAlignment="1">
      <alignment horizontal="center" vertical="center" wrapText="1"/>
    </xf>
    <xf numFmtId="175" fontId="72" fillId="0" borderId="3" xfId="0" applyNumberFormat="1" applyFont="1" applyFill="1" applyBorder="1" applyAlignment="1">
      <alignment vertical="center" wrapText="1"/>
    </xf>
    <xf numFmtId="3" fontId="75" fillId="0" borderId="3" xfId="0" applyNumberFormat="1" applyFont="1" applyFill="1" applyBorder="1" applyAlignment="1">
      <alignment horizontal="right" vertical="center" wrapText="1"/>
    </xf>
    <xf numFmtId="176" fontId="75" fillId="0" borderId="3" xfId="0" applyNumberFormat="1" applyFont="1" applyFill="1" applyBorder="1" applyAlignment="1">
      <alignment vertical="center" wrapText="1"/>
    </xf>
    <xf numFmtId="176" fontId="72" fillId="0" borderId="3" xfId="0" applyNumberFormat="1" applyFont="1" applyFill="1" applyBorder="1" applyAlignment="1">
      <alignment vertical="center" wrapText="1"/>
    </xf>
    <xf numFmtId="176" fontId="72" fillId="0" borderId="15" xfId="0" applyNumberFormat="1" applyFont="1" applyFill="1" applyBorder="1" applyAlignment="1">
      <alignment vertical="center" wrapText="1"/>
    </xf>
    <xf numFmtId="167" fontId="78" fillId="0" borderId="3" xfId="0" applyNumberFormat="1" applyFont="1" applyFill="1" applyBorder="1" applyAlignment="1">
      <alignment vertical="center" wrapText="1"/>
    </xf>
    <xf numFmtId="167" fontId="78" fillId="0" borderId="15" xfId="0" applyNumberFormat="1" applyFont="1" applyFill="1" applyBorder="1" applyAlignment="1">
      <alignment horizontal="center" vertical="center" wrapText="1"/>
    </xf>
    <xf numFmtId="167" fontId="78" fillId="0" borderId="15" xfId="0" applyNumberFormat="1" applyFont="1" applyFill="1" applyBorder="1" applyAlignment="1">
      <alignment vertical="center" wrapText="1"/>
    </xf>
    <xf numFmtId="167" fontId="69" fillId="0" borderId="3" xfId="0" applyNumberFormat="1" applyFont="1" applyBorder="1" applyAlignment="1">
      <alignment horizontal="center" vertical="center" wrapText="1"/>
    </xf>
    <xf numFmtId="167" fontId="56" fillId="0" borderId="19" xfId="0" applyNumberFormat="1" applyFont="1" applyBorder="1" applyAlignment="1">
      <alignment horizontal="right" vertical="center" wrapText="1"/>
    </xf>
    <xf numFmtId="176" fontId="69" fillId="0" borderId="3" xfId="0" applyNumberFormat="1" applyFont="1" applyBorder="1" applyAlignment="1">
      <alignment horizontal="center" vertical="center" wrapText="1"/>
    </xf>
    <xf numFmtId="167" fontId="69" fillId="0" borderId="3" xfId="0" applyNumberFormat="1" applyFont="1" applyBorder="1" applyAlignment="1">
      <alignment horizontal="right" vertical="center" wrapText="1"/>
    </xf>
    <xf numFmtId="167" fontId="69" fillId="0" borderId="3" xfId="0" applyNumberFormat="1" applyFont="1" applyBorder="1" applyAlignment="1">
      <alignment vertical="center" wrapText="1"/>
    </xf>
    <xf numFmtId="175" fontId="69" fillId="0" borderId="3" xfId="0" applyNumberFormat="1" applyFont="1" applyFill="1" applyBorder="1" applyAlignment="1">
      <alignment vertical="center" wrapText="1"/>
    </xf>
    <xf numFmtId="167" fontId="56" fillId="0" borderId="0" xfId="0" applyNumberFormat="1" applyFont="1" applyAlignment="1">
      <alignment vertical="center"/>
    </xf>
    <xf numFmtId="0" fontId="72" fillId="0" borderId="0" xfId="0" applyFont="1" applyAlignment="1">
      <alignment vertical="center"/>
    </xf>
    <xf numFmtId="0" fontId="72" fillId="0" borderId="0" xfId="0" applyFont="1" applyAlignment="1">
      <alignment horizontal="right" vertical="center"/>
    </xf>
    <xf numFmtId="0" fontId="74" fillId="0" borderId="0" xfId="0" applyFont="1" applyAlignment="1">
      <alignment vertical="center"/>
    </xf>
    <xf numFmtId="0" fontId="72" fillId="0" borderId="0" xfId="0" applyFont="1" applyAlignment="1">
      <alignment horizontal="center" vertical="center"/>
    </xf>
    <xf numFmtId="0" fontId="72" fillId="0" borderId="0" xfId="0" applyFont="1" applyAlignment="1">
      <alignment horizontal="left" vertical="center"/>
    </xf>
    <xf numFmtId="0" fontId="72" fillId="0" borderId="17" xfId="0" applyFont="1" applyBorder="1" applyAlignment="1">
      <alignment horizontal="left" vertical="center"/>
    </xf>
    <xf numFmtId="0" fontId="72" fillId="0" borderId="18" xfId="0" applyFont="1" applyBorder="1" applyAlignment="1">
      <alignment vertical="center" wrapText="1"/>
    </xf>
    <xf numFmtId="0" fontId="72" fillId="0" borderId="17" xfId="0" applyFont="1" applyBorder="1" applyAlignment="1">
      <alignment vertical="center"/>
    </xf>
    <xf numFmtId="0" fontId="72" fillId="0" borderId="17" xfId="0" applyFont="1" applyBorder="1" applyAlignment="1">
      <alignment vertical="center" wrapText="1"/>
    </xf>
    <xf numFmtId="0" fontId="75" fillId="0" borderId="0" xfId="0" applyFont="1" applyAlignment="1">
      <alignment horizontal="center" vertical="center"/>
    </xf>
    <xf numFmtId="0" fontId="72" fillId="0" borderId="3" xfId="0" applyFont="1" applyBorder="1" applyAlignment="1">
      <alignment horizontal="center" vertical="center"/>
    </xf>
    <xf numFmtId="0" fontId="72" fillId="0" borderId="3" xfId="0" applyFont="1" applyBorder="1" applyAlignment="1">
      <alignment horizontal="center" vertical="center" wrapText="1"/>
    </xf>
    <xf numFmtId="0" fontId="75" fillId="0" borderId="0" xfId="0" applyFont="1" applyAlignment="1">
      <alignment vertical="center"/>
    </xf>
    <xf numFmtId="0" fontId="75" fillId="0" borderId="3" xfId="182" applyFont="1" applyBorder="1" applyAlignment="1">
      <alignment vertical="center" wrapText="1"/>
      <protection locked="0"/>
    </xf>
    <xf numFmtId="167" fontId="72" fillId="0" borderId="15" xfId="0" applyNumberFormat="1" applyFont="1" applyBorder="1" applyAlignment="1">
      <alignment vertical="center" wrapText="1"/>
    </xf>
    <xf numFmtId="167" fontId="75" fillId="0" borderId="0" xfId="0" applyNumberFormat="1" applyFont="1" applyAlignment="1">
      <alignment vertical="center"/>
    </xf>
    <xf numFmtId="0" fontId="72" fillId="0" borderId="3" xfId="182" applyFont="1" applyBorder="1" applyAlignment="1">
      <alignment vertical="center" wrapText="1"/>
      <protection locked="0"/>
    </xf>
    <xf numFmtId="0" fontId="77" fillId="0" borderId="3" xfId="182" applyFont="1" applyBorder="1" applyAlignment="1">
      <alignment vertical="center" wrapText="1"/>
      <protection locked="0"/>
    </xf>
    <xf numFmtId="167" fontId="75" fillId="0" borderId="3" xfId="0" applyNumberFormat="1" applyFont="1" applyBorder="1" applyAlignment="1">
      <alignment horizontal="center" vertical="center" wrapText="1"/>
    </xf>
    <xf numFmtId="167" fontId="72" fillId="0" borderId="15" xfId="0" applyNumberFormat="1" applyFont="1" applyBorder="1" applyAlignment="1">
      <alignment horizontal="center" vertical="center" wrapText="1"/>
    </xf>
    <xf numFmtId="0" fontId="72" fillId="0" borderId="3" xfId="0" applyFont="1" applyBorder="1" applyAlignment="1">
      <alignment vertical="center" wrapText="1"/>
    </xf>
    <xf numFmtId="0" fontId="72" fillId="0" borderId="3" xfId="0" applyFont="1" applyBorder="1" applyAlignment="1" applyProtection="1">
      <alignment vertical="center" wrapText="1"/>
      <protection locked="0"/>
    </xf>
    <xf numFmtId="0" fontId="75" fillId="0" borderId="3" xfId="0" applyFont="1" applyBorder="1" applyAlignment="1" applyProtection="1">
      <alignment vertical="center" wrapText="1"/>
      <protection locked="0"/>
    </xf>
    <xf numFmtId="167" fontId="78" fillId="0" borderId="15" xfId="0" applyNumberFormat="1" applyFont="1" applyBorder="1" applyAlignment="1">
      <alignment vertical="center" wrapText="1"/>
    </xf>
    <xf numFmtId="49" fontId="75" fillId="0" borderId="3" xfId="182" applyNumberFormat="1" applyFont="1" applyBorder="1" applyAlignment="1">
      <alignment vertical="center" wrapText="1"/>
      <protection locked="0"/>
    </xf>
    <xf numFmtId="167" fontId="78" fillId="0" borderId="15" xfId="0" applyNumberFormat="1" applyFont="1" applyBorder="1" applyAlignment="1">
      <alignment horizontal="center" vertical="center" wrapText="1"/>
    </xf>
    <xf numFmtId="49" fontId="72" fillId="0" borderId="3" xfId="182" applyNumberFormat="1" applyFont="1" applyBorder="1" applyAlignment="1">
      <alignment vertical="center" wrapText="1"/>
      <protection locked="0"/>
    </xf>
    <xf numFmtId="49" fontId="76" fillId="0" borderId="3" xfId="182" applyNumberFormat="1" applyFont="1" applyBorder="1" applyAlignment="1">
      <alignment vertical="center" wrapText="1"/>
      <protection locked="0"/>
    </xf>
    <xf numFmtId="0" fontId="75" fillId="0" borderId="3" xfId="0" applyFont="1" applyBorder="1" applyAlignment="1">
      <alignment vertical="center" wrapText="1"/>
    </xf>
    <xf numFmtId="0" fontId="75" fillId="0" borderId="3" xfId="245" applyFont="1" applyBorder="1" applyAlignment="1">
      <alignment horizontal="left" vertical="center" wrapText="1"/>
    </xf>
    <xf numFmtId="0" fontId="72" fillId="0" borderId="3" xfId="0" applyFont="1" applyBorder="1" applyAlignment="1">
      <alignment horizontal="left" vertical="center" wrapText="1"/>
    </xf>
    <xf numFmtId="0" fontId="72" fillId="0" borderId="3" xfId="245" applyFont="1" applyBorder="1" applyAlignment="1">
      <alignment horizontal="left" vertical="center" wrapText="1"/>
    </xf>
    <xf numFmtId="0" fontId="72" fillId="0" borderId="3" xfId="0" applyFont="1" applyBorder="1" applyAlignment="1" applyProtection="1">
      <alignment horizontal="left" vertical="center" wrapText="1"/>
      <protection locked="0"/>
    </xf>
    <xf numFmtId="0" fontId="75" fillId="0" borderId="3" xfId="0" applyFont="1" applyBorder="1" applyAlignment="1" applyProtection="1">
      <alignment horizontal="left" vertical="center" wrapText="1"/>
      <protection locked="0"/>
    </xf>
    <xf numFmtId="0" fontId="72" fillId="0" borderId="3" xfId="245" applyFont="1" applyBorder="1" applyAlignment="1">
      <alignment horizontal="center" vertical="center"/>
    </xf>
    <xf numFmtId="0" fontId="75" fillId="0" borderId="15" xfId="0" applyFont="1" applyBorder="1" applyAlignment="1" applyProtection="1">
      <alignment horizontal="left" vertical="center" wrapText="1"/>
      <protection locked="0"/>
    </xf>
    <xf numFmtId="0" fontId="72" fillId="0" borderId="15" xfId="0" applyFont="1" applyBorder="1" applyAlignment="1">
      <alignment horizontal="center" vertical="center"/>
    </xf>
    <xf numFmtId="0" fontId="72" fillId="0" borderId="23" xfId="245" applyFont="1" applyBorder="1" applyAlignment="1">
      <alignment horizontal="left" vertical="center" wrapText="1"/>
    </xf>
    <xf numFmtId="0" fontId="72" fillId="0" borderId="23" xfId="0" applyFont="1" applyBorder="1" applyAlignment="1">
      <alignment horizontal="center" vertical="center"/>
    </xf>
    <xf numFmtId="0" fontId="72" fillId="0" borderId="15" xfId="0" applyFont="1" applyBorder="1" applyAlignment="1" applyProtection="1">
      <alignment horizontal="left" vertical="center" wrapText="1"/>
      <protection locked="0"/>
    </xf>
    <xf numFmtId="0" fontId="72" fillId="0" borderId="19" xfId="0" applyFont="1" applyBorder="1" applyAlignment="1" applyProtection="1">
      <alignment horizontal="left" vertical="center" wrapText="1"/>
      <protection locked="0"/>
    </xf>
    <xf numFmtId="0" fontId="72" fillId="0" borderId="19" xfId="0" applyFont="1" applyBorder="1" applyAlignment="1">
      <alignment horizontal="center" vertical="center"/>
    </xf>
    <xf numFmtId="0" fontId="72" fillId="0" borderId="23" xfId="0" applyFont="1" applyBorder="1" applyAlignment="1" applyProtection="1">
      <alignment horizontal="left" vertical="center" wrapText="1"/>
      <protection locked="0"/>
    </xf>
    <xf numFmtId="0" fontId="78" fillId="0" borderId="3" xfId="0" applyFont="1" applyBorder="1" applyAlignment="1" applyProtection="1">
      <alignment horizontal="left" vertical="center" wrapText="1"/>
      <protection locked="0"/>
    </xf>
    <xf numFmtId="0" fontId="78" fillId="0" borderId="3" xfId="0" applyFont="1" applyBorder="1" applyAlignment="1">
      <alignment horizontal="center" vertical="center"/>
    </xf>
    <xf numFmtId="0" fontId="78" fillId="0" borderId="0" xfId="0" applyFont="1" applyAlignment="1">
      <alignment vertical="center"/>
    </xf>
    <xf numFmtId="49" fontId="72" fillId="0" borderId="15" xfId="0" applyNumberFormat="1" applyFont="1" applyBorder="1" applyAlignment="1">
      <alignment horizontal="center" vertical="center"/>
    </xf>
    <xf numFmtId="49" fontId="72" fillId="0" borderId="3" xfId="0" applyNumberFormat="1" applyFont="1" applyBorder="1" applyAlignment="1">
      <alignment horizontal="center" vertical="center"/>
    </xf>
    <xf numFmtId="49" fontId="72" fillId="0" borderId="19" xfId="0" applyNumberFormat="1" applyFont="1" applyBorder="1" applyAlignment="1">
      <alignment horizontal="center" vertical="center"/>
    </xf>
    <xf numFmtId="0" fontId="75" fillId="0" borderId="3" xfId="0" applyFont="1" applyBorder="1" applyAlignment="1">
      <alignment horizontal="left" vertical="center" wrapText="1"/>
    </xf>
    <xf numFmtId="0" fontId="72" fillId="0" borderId="0" xfId="0" applyFont="1" applyAlignment="1">
      <alignment horizontal="left" vertical="center" wrapText="1"/>
    </xf>
    <xf numFmtId="49" fontId="72" fillId="0" borderId="0" xfId="0" applyNumberFormat="1" applyFont="1" applyAlignment="1">
      <alignment horizontal="center" vertical="center"/>
    </xf>
    <xf numFmtId="0" fontId="75" fillId="0" borderId="0" xfId="0" applyFont="1" applyAlignment="1">
      <alignment horizontal="right" vertical="center" wrapText="1"/>
    </xf>
    <xf numFmtId="0" fontId="75" fillId="0" borderId="0" xfId="0" applyFont="1" applyAlignment="1">
      <alignment horizontal="left" vertical="center" wrapText="1"/>
    </xf>
    <xf numFmtId="0" fontId="75" fillId="0" borderId="0" xfId="0" applyFont="1" applyAlignment="1" applyProtection="1">
      <alignment horizontal="left" vertical="center"/>
      <protection locked="0"/>
    </xf>
    <xf numFmtId="0" fontId="72" fillId="0" borderId="0" xfId="0" applyFont="1" applyAlignment="1">
      <alignment vertical="center" wrapText="1"/>
    </xf>
    <xf numFmtId="178" fontId="75" fillId="0" borderId="0" xfId="0" applyNumberFormat="1" applyFont="1" applyFill="1" applyBorder="1" applyAlignment="1">
      <alignment vertical="center"/>
    </xf>
    <xf numFmtId="0" fontId="72" fillId="0" borderId="13" xfId="0" applyFont="1" applyFill="1" applyBorder="1" applyAlignment="1">
      <alignment vertical="center" wrapText="1"/>
    </xf>
    <xf numFmtId="175" fontId="79" fillId="0" borderId="22" xfId="0" applyNumberFormat="1" applyFont="1" applyFill="1" applyBorder="1" applyAlignment="1">
      <alignment vertical="center" wrapText="1"/>
    </xf>
    <xf numFmtId="3" fontId="78" fillId="0" borderId="22" xfId="0" applyNumberFormat="1" applyFont="1" applyFill="1" applyBorder="1" applyAlignment="1">
      <alignment horizontal="right" vertical="center" wrapText="1"/>
    </xf>
    <xf numFmtId="167" fontId="79" fillId="0" borderId="15" xfId="0" applyNumberFormat="1" applyFont="1" applyFill="1" applyBorder="1" applyAlignment="1">
      <alignment vertical="center" wrapText="1"/>
    </xf>
    <xf numFmtId="167" fontId="79" fillId="0" borderId="15" xfId="0" applyNumberFormat="1" applyFont="1" applyFill="1" applyBorder="1" applyAlignment="1">
      <alignment horizontal="center" vertical="center" wrapText="1"/>
    </xf>
    <xf numFmtId="167" fontId="78" fillId="0" borderId="3" xfId="0" applyNumberFormat="1" applyFont="1" applyFill="1" applyBorder="1" applyAlignment="1">
      <alignment horizontal="center" vertical="center" wrapText="1"/>
    </xf>
    <xf numFmtId="167" fontId="79" fillId="0" borderId="3" xfId="0" applyNumberFormat="1" applyFont="1" applyFill="1" applyBorder="1" applyAlignment="1">
      <alignment vertical="center" wrapText="1"/>
    </xf>
    <xf numFmtId="167" fontId="76" fillId="0" borderId="15" xfId="0" applyNumberFormat="1" applyFont="1" applyFill="1" applyBorder="1" applyAlignment="1">
      <alignment horizontal="center" vertical="center" wrapText="1"/>
    </xf>
    <xf numFmtId="167" fontId="76" fillId="0" borderId="15" xfId="0" applyNumberFormat="1" applyFont="1" applyFill="1" applyBorder="1" applyAlignment="1">
      <alignment vertical="center" wrapText="1"/>
    </xf>
    <xf numFmtId="3" fontId="75" fillId="0" borderId="15" xfId="0" applyNumberFormat="1" applyFont="1" applyFill="1" applyBorder="1" applyAlignment="1">
      <alignment horizontal="right" vertical="center" wrapText="1"/>
    </xf>
    <xf numFmtId="3" fontId="79" fillId="0" borderId="22" xfId="0" applyNumberFormat="1" applyFont="1" applyFill="1" applyBorder="1" applyAlignment="1">
      <alignment horizontal="right" vertical="center" wrapText="1"/>
    </xf>
    <xf numFmtId="167" fontId="78" fillId="0" borderId="22" xfId="0" applyNumberFormat="1" applyFont="1" applyFill="1" applyBorder="1" applyAlignment="1">
      <alignment horizontal="right" vertical="center" wrapText="1"/>
    </xf>
    <xf numFmtId="167" fontId="79" fillId="0" borderId="15" xfId="0" applyNumberFormat="1" applyFont="1" applyFill="1" applyBorder="1" applyAlignment="1">
      <alignment horizontal="right" vertical="center" wrapText="1"/>
    </xf>
    <xf numFmtId="167" fontId="78" fillId="0" borderId="15" xfId="0" applyNumberFormat="1" applyFont="1" applyFill="1" applyBorder="1" applyAlignment="1">
      <alignment horizontal="right" vertical="center" wrapText="1"/>
    </xf>
    <xf numFmtId="167" fontId="56" fillId="0" borderId="15" xfId="0" applyNumberFormat="1" applyFont="1" applyFill="1" applyBorder="1" applyAlignment="1">
      <alignment horizontal="right" vertical="center" wrapText="1"/>
    </xf>
    <xf numFmtId="167" fontId="72" fillId="0" borderId="15" xfId="0" applyNumberFormat="1" applyFont="1" applyFill="1" applyBorder="1" applyAlignment="1">
      <alignment horizontal="right" vertical="center" wrapText="1"/>
    </xf>
    <xf numFmtId="167" fontId="76" fillId="0" borderId="15" xfId="0" applyNumberFormat="1" applyFont="1" applyFill="1" applyBorder="1" applyAlignment="1">
      <alignment horizontal="right" vertical="center" wrapText="1"/>
    </xf>
    <xf numFmtId="167" fontId="75" fillId="0" borderId="15" xfId="0" applyNumberFormat="1" applyFont="1" applyFill="1" applyBorder="1" applyAlignment="1">
      <alignment horizontal="right" vertical="center" wrapText="1"/>
    </xf>
    <xf numFmtId="167" fontId="72" fillId="0" borderId="22" xfId="0" applyNumberFormat="1" applyFont="1" applyFill="1" applyBorder="1" applyAlignment="1">
      <alignment horizontal="right" vertical="center" wrapText="1"/>
    </xf>
    <xf numFmtId="167" fontId="79" fillId="0" borderId="0" xfId="0" applyNumberFormat="1" applyFont="1" applyFill="1" applyBorder="1" applyAlignment="1">
      <alignment vertical="center"/>
    </xf>
    <xf numFmtId="3" fontId="72" fillId="0" borderId="3" xfId="0" applyNumberFormat="1" applyFont="1" applyFill="1" applyBorder="1" applyAlignment="1">
      <alignment vertical="center" wrapText="1"/>
    </xf>
    <xf numFmtId="3" fontId="72" fillId="0" borderId="15" xfId="0" applyNumberFormat="1" applyFont="1" applyFill="1" applyBorder="1" applyAlignment="1">
      <alignment horizontal="center" vertical="center" wrapText="1"/>
    </xf>
    <xf numFmtId="3" fontId="75" fillId="0" borderId="15" xfId="0" applyNumberFormat="1" applyFont="1" applyFill="1" applyBorder="1" applyAlignment="1">
      <alignment vertical="center" wrapText="1"/>
    </xf>
    <xf numFmtId="3" fontId="75" fillId="0" borderId="15" xfId="0" applyNumberFormat="1" applyFont="1" applyFill="1" applyBorder="1" applyAlignment="1">
      <alignment horizontal="center" vertical="center" wrapText="1"/>
    </xf>
    <xf numFmtId="3" fontId="72" fillId="0" borderId="3" xfId="0" applyNumberFormat="1" applyFont="1" applyFill="1" applyBorder="1" applyAlignment="1">
      <alignment horizontal="center" vertical="center" wrapText="1"/>
    </xf>
    <xf numFmtId="167" fontId="79" fillId="0" borderId="3" xfId="0" applyNumberFormat="1" applyFont="1" applyFill="1" applyBorder="1" applyAlignment="1">
      <alignment horizontal="center" vertical="center" wrapText="1"/>
    </xf>
    <xf numFmtId="176" fontId="78" fillId="0" borderId="22" xfId="0" applyNumberFormat="1" applyFont="1" applyFill="1" applyBorder="1" applyAlignment="1">
      <alignment vertical="center" wrapText="1"/>
    </xf>
    <xf numFmtId="176" fontId="78" fillId="0" borderId="22" xfId="0" applyNumberFormat="1" applyFont="1" applyFill="1" applyBorder="1" applyAlignment="1">
      <alignment horizontal="right" vertical="center" wrapText="1"/>
    </xf>
    <xf numFmtId="176" fontId="78" fillId="0" borderId="22" xfId="0" applyNumberFormat="1" applyFont="1" applyFill="1" applyBorder="1" applyAlignment="1">
      <alignment horizontal="center" vertical="center" wrapText="1"/>
    </xf>
    <xf numFmtId="176" fontId="79" fillId="0" borderId="15" xfId="0" applyNumberFormat="1" applyFont="1" applyFill="1" applyBorder="1" applyAlignment="1">
      <alignment vertical="center" wrapText="1"/>
    </xf>
    <xf numFmtId="176" fontId="79" fillId="0" borderId="15" xfId="0" applyNumberFormat="1" applyFont="1" applyFill="1" applyBorder="1" applyAlignment="1">
      <alignment horizontal="right" vertical="center" wrapText="1"/>
    </xf>
    <xf numFmtId="176" fontId="78" fillId="0" borderId="3" xfId="0" applyNumberFormat="1" applyFont="1" applyFill="1" applyBorder="1" applyAlignment="1">
      <alignment horizontal="center" vertical="center" wrapText="1"/>
    </xf>
    <xf numFmtId="176" fontId="56" fillId="0" borderId="15" xfId="0" applyNumberFormat="1" applyFont="1" applyFill="1" applyBorder="1" applyAlignment="1">
      <alignment horizontal="right" vertical="center" wrapText="1"/>
    </xf>
    <xf numFmtId="176" fontId="72" fillId="0" borderId="15" xfId="0" applyNumberFormat="1" applyFont="1" applyFill="1" applyBorder="1" applyAlignment="1">
      <alignment horizontal="right" vertical="center" wrapText="1"/>
    </xf>
    <xf numFmtId="176" fontId="76" fillId="0" borderId="15" xfId="0" applyNumberFormat="1" applyFont="1" applyFill="1" applyBorder="1" applyAlignment="1">
      <alignment horizontal="right" vertical="center" wrapText="1"/>
    </xf>
    <xf numFmtId="176" fontId="75" fillId="0" borderId="15" xfId="0" applyNumberFormat="1" applyFont="1" applyFill="1" applyBorder="1" applyAlignment="1">
      <alignment horizontal="right" vertical="center" wrapText="1"/>
    </xf>
    <xf numFmtId="176" fontId="72" fillId="0" borderId="22" xfId="0" applyNumberFormat="1" applyFont="1" applyFill="1" applyBorder="1" applyAlignment="1">
      <alignment horizontal="right" vertical="center" wrapText="1"/>
    </xf>
    <xf numFmtId="176" fontId="75" fillId="0" borderId="15" xfId="0" applyNumberFormat="1" applyFont="1" applyFill="1" applyBorder="1" applyAlignment="1">
      <alignment horizontal="center" vertical="center" wrapText="1"/>
    </xf>
    <xf numFmtId="176" fontId="75" fillId="0" borderId="15" xfId="0" applyNumberFormat="1" applyFont="1" applyFill="1" applyBorder="1" applyAlignment="1">
      <alignment vertical="center" wrapText="1"/>
    </xf>
    <xf numFmtId="176" fontId="75" fillId="0" borderId="3" xfId="0" applyNumberFormat="1" applyFont="1" applyFill="1" applyBorder="1" applyAlignment="1">
      <alignment horizontal="right" vertical="center" wrapText="1"/>
    </xf>
    <xf numFmtId="176" fontId="75" fillId="0" borderId="22" xfId="0" applyNumberFormat="1" applyFont="1" applyFill="1" applyBorder="1" applyAlignment="1">
      <alignment horizontal="right" vertical="center" wrapText="1"/>
    </xf>
    <xf numFmtId="176" fontId="79" fillId="0" borderId="22" xfId="0" applyNumberFormat="1" applyFont="1" applyFill="1" applyBorder="1" applyAlignment="1">
      <alignment horizontal="right" vertical="center" wrapText="1"/>
    </xf>
    <xf numFmtId="176" fontId="78" fillId="0" borderId="3" xfId="0" applyNumberFormat="1" applyFont="1" applyFill="1" applyBorder="1" applyAlignment="1">
      <alignment horizontal="right" vertical="center" wrapText="1"/>
    </xf>
    <xf numFmtId="176" fontId="75" fillId="0" borderId="0" xfId="0" applyNumberFormat="1" applyFont="1" applyFill="1" applyBorder="1" applyAlignment="1">
      <alignment vertical="center"/>
    </xf>
    <xf numFmtId="167" fontId="79" fillId="0" borderId="22" xfId="0" applyNumberFormat="1" applyFont="1" applyFill="1" applyBorder="1" applyAlignment="1">
      <alignment horizontal="right" vertical="center" wrapText="1"/>
    </xf>
    <xf numFmtId="167" fontId="75" fillId="0" borderId="22" xfId="0" applyNumberFormat="1" applyFont="1" applyFill="1" applyBorder="1" applyAlignment="1">
      <alignment horizontal="right" vertical="center" wrapText="1"/>
    </xf>
    <xf numFmtId="176" fontId="69" fillId="0" borderId="22" xfId="0" applyNumberFormat="1" applyFont="1" applyBorder="1" applyAlignment="1">
      <alignment horizontal="right" vertical="center" wrapText="1"/>
    </xf>
    <xf numFmtId="0" fontId="72" fillId="26" borderId="0" xfId="0" applyFont="1" applyFill="1" applyAlignment="1">
      <alignment horizontal="left" vertical="center"/>
    </xf>
    <xf numFmtId="0" fontId="72" fillId="26" borderId="0" xfId="0" applyFont="1" applyFill="1" applyAlignment="1">
      <alignment horizontal="center" vertical="center"/>
    </xf>
    <xf numFmtId="0" fontId="72" fillId="26" borderId="0" xfId="0" applyFont="1" applyFill="1" applyAlignment="1">
      <alignment vertical="center"/>
    </xf>
    <xf numFmtId="0" fontId="75" fillId="26" borderId="0" xfId="0" applyFont="1" applyFill="1" applyAlignment="1">
      <alignment horizontal="center" vertical="center"/>
    </xf>
    <xf numFmtId="0" fontId="72" fillId="26" borderId="19" xfId="0" applyFont="1" applyFill="1" applyBorder="1" applyAlignment="1">
      <alignment horizontal="center" vertical="center" wrapText="1"/>
    </xf>
    <xf numFmtId="167" fontId="72" fillId="26" borderId="15" xfId="0" applyNumberFormat="1" applyFont="1" applyFill="1" applyBorder="1" applyAlignment="1">
      <alignment vertical="center" wrapText="1"/>
    </xf>
    <xf numFmtId="167" fontId="75" fillId="26" borderId="3" xfId="0" applyNumberFormat="1" applyFont="1" applyFill="1" applyBorder="1" applyAlignment="1">
      <alignment horizontal="center" vertical="center" wrapText="1"/>
    </xf>
    <xf numFmtId="167" fontId="78" fillId="26" borderId="15" xfId="0" applyNumberFormat="1" applyFont="1" applyFill="1" applyBorder="1" applyAlignment="1">
      <alignment vertical="center" wrapText="1"/>
    </xf>
    <xf numFmtId="167" fontId="78" fillId="26" borderId="15" xfId="0" applyNumberFormat="1" applyFont="1" applyFill="1" applyBorder="1" applyAlignment="1">
      <alignment horizontal="center" vertical="center" wrapText="1"/>
    </xf>
    <xf numFmtId="167" fontId="72" fillId="26" borderId="15" xfId="0" applyNumberFormat="1" applyFont="1" applyFill="1" applyBorder="1" applyAlignment="1">
      <alignment horizontal="center" vertical="center" wrapText="1"/>
    </xf>
    <xf numFmtId="167" fontId="75" fillId="26" borderId="15" xfId="0" applyNumberFormat="1" applyFont="1" applyFill="1" applyBorder="1" applyAlignment="1">
      <alignment horizontal="center" vertical="center" wrapText="1"/>
    </xf>
    <xf numFmtId="167" fontId="75" fillId="26" borderId="3" xfId="0" applyNumberFormat="1" applyFont="1" applyFill="1" applyBorder="1" applyAlignment="1">
      <alignment vertical="center" wrapText="1"/>
    </xf>
    <xf numFmtId="167" fontId="72" fillId="26" borderId="3" xfId="0" applyNumberFormat="1" applyFont="1" applyFill="1" applyBorder="1" applyAlignment="1">
      <alignment horizontal="center" vertical="center" wrapText="1"/>
    </xf>
    <xf numFmtId="176" fontId="75" fillId="26" borderId="3" xfId="0" applyNumberFormat="1" applyFont="1" applyFill="1" applyBorder="1" applyAlignment="1">
      <alignment vertical="center" wrapText="1"/>
    </xf>
    <xf numFmtId="0" fontId="72" fillId="0" borderId="0" xfId="0" applyFont="1" applyFill="1" applyAlignment="1">
      <alignment horizontal="right" vertical="center"/>
    </xf>
    <xf numFmtId="0" fontId="75" fillId="0" borderId="0" xfId="0" applyFont="1" applyFill="1" applyAlignment="1">
      <alignment horizontal="center" vertical="center"/>
    </xf>
    <xf numFmtId="167" fontId="72" fillId="0" borderId="24" xfId="0" applyNumberFormat="1" applyFont="1" applyFill="1" applyBorder="1" applyAlignment="1">
      <alignment horizontal="center" vertical="center" wrapText="1"/>
    </xf>
    <xf numFmtId="167" fontId="72" fillId="0" borderId="0" xfId="0" applyNumberFormat="1" applyFont="1" applyFill="1" applyAlignment="1">
      <alignment horizontal="center" vertical="center" wrapText="1"/>
    </xf>
    <xf numFmtId="175" fontId="72" fillId="0" borderId="0" xfId="0" applyNumberFormat="1" applyFont="1" applyFill="1" applyAlignment="1">
      <alignment vertical="center" wrapText="1"/>
    </xf>
    <xf numFmtId="176" fontId="72" fillId="26" borderId="15" xfId="0" applyNumberFormat="1" applyFont="1" applyFill="1" applyBorder="1" applyAlignment="1">
      <alignment horizontal="center" vertical="center" wrapText="1"/>
    </xf>
    <xf numFmtId="176" fontId="72" fillId="26" borderId="3" xfId="0" applyNumberFormat="1" applyFont="1" applyFill="1" applyBorder="1" applyAlignment="1">
      <alignment vertical="center" wrapText="1"/>
    </xf>
    <xf numFmtId="175" fontId="72" fillId="26" borderId="3" xfId="0" applyNumberFormat="1" applyFont="1" applyFill="1" applyBorder="1" applyAlignment="1">
      <alignment vertical="center" wrapText="1"/>
    </xf>
    <xf numFmtId="167" fontId="77" fillId="26" borderId="0" xfId="0" applyNumberFormat="1" applyFont="1" applyFill="1" applyAlignment="1">
      <alignment horizontal="center" vertical="center" wrapText="1"/>
    </xf>
    <xf numFmtId="176" fontId="79" fillId="0" borderId="3" xfId="0" applyNumberFormat="1" applyFont="1" applyFill="1" applyBorder="1" applyAlignment="1">
      <alignment horizontal="center" vertical="center" wrapText="1"/>
    </xf>
    <xf numFmtId="176" fontId="78" fillId="0" borderId="15" xfId="0" applyNumberFormat="1" applyFont="1" applyFill="1" applyBorder="1" applyAlignment="1">
      <alignment horizontal="right" vertical="center" wrapText="1"/>
    </xf>
    <xf numFmtId="177" fontId="75" fillId="0" borderId="0" xfId="0" applyNumberFormat="1" applyFont="1" applyFill="1" applyBorder="1" applyAlignment="1">
      <alignment vertical="center"/>
    </xf>
    <xf numFmtId="176" fontId="78" fillId="0" borderId="15" xfId="0" applyNumberFormat="1" applyFont="1" applyFill="1" applyBorder="1" applyAlignment="1">
      <alignment vertical="center" wrapText="1"/>
    </xf>
    <xf numFmtId="176" fontId="56" fillId="0" borderId="15" xfId="0" applyNumberFormat="1" applyFont="1" applyFill="1" applyBorder="1" applyAlignment="1">
      <alignment vertical="center" wrapText="1"/>
    </xf>
    <xf numFmtId="176" fontId="76" fillId="0" borderId="15" xfId="0" applyNumberFormat="1" applyFont="1" applyFill="1" applyBorder="1" applyAlignment="1">
      <alignment horizontal="center" vertical="center" wrapText="1"/>
    </xf>
    <xf numFmtId="176" fontId="56" fillId="0" borderId="15" xfId="0" applyNumberFormat="1" applyFont="1" applyFill="1" applyBorder="1" applyAlignment="1">
      <alignment horizontal="center" vertical="center" wrapText="1"/>
    </xf>
    <xf numFmtId="176" fontId="76" fillId="0" borderId="15" xfId="0" applyNumberFormat="1" applyFont="1" applyFill="1" applyBorder="1" applyAlignment="1">
      <alignment vertical="center" wrapText="1"/>
    </xf>
    <xf numFmtId="167" fontId="77" fillId="0" borderId="0" xfId="0" applyNumberFormat="1" applyFont="1" applyFill="1" applyAlignment="1">
      <alignment horizontal="center" vertical="center" wrapText="1"/>
    </xf>
    <xf numFmtId="181" fontId="72" fillId="0" borderId="0" xfId="0" applyNumberFormat="1" applyFont="1" applyFill="1" applyAlignment="1">
      <alignment vertical="center"/>
    </xf>
    <xf numFmtId="0" fontId="72" fillId="26" borderId="12" xfId="0" applyFont="1" applyFill="1" applyBorder="1" applyAlignment="1">
      <alignment vertical="center"/>
    </xf>
    <xf numFmtId="0" fontId="72" fillId="26" borderId="12" xfId="0" applyFont="1" applyFill="1" applyBorder="1" applyAlignment="1">
      <alignment vertical="center" wrapText="1"/>
    </xf>
    <xf numFmtId="0" fontId="72" fillId="26" borderId="12" xfId="0" applyFont="1" applyFill="1" applyBorder="1" applyAlignment="1">
      <alignment horizontal="left" vertical="center" wrapText="1"/>
    </xf>
    <xf numFmtId="0" fontId="72" fillId="26" borderId="14" xfId="0" applyFont="1" applyFill="1" applyBorder="1" applyAlignment="1">
      <alignment vertical="center" wrapText="1"/>
    </xf>
    <xf numFmtId="0" fontId="72" fillId="26" borderId="14" xfId="0" applyFont="1" applyFill="1" applyBorder="1" applyAlignment="1">
      <alignment vertical="center"/>
    </xf>
    <xf numFmtId="0" fontId="72" fillId="26" borderId="3" xfId="0" applyFont="1" applyFill="1" applyBorder="1" applyAlignment="1">
      <alignment horizontal="center" vertical="center" wrapText="1"/>
    </xf>
    <xf numFmtId="176" fontId="75" fillId="26" borderId="3" xfId="0" applyNumberFormat="1" applyFont="1" applyFill="1" applyBorder="1" applyAlignment="1">
      <alignment horizontal="center" vertical="center" wrapText="1"/>
    </xf>
    <xf numFmtId="175" fontId="72" fillId="26" borderId="3" xfId="0" applyNumberFormat="1" applyFont="1" applyFill="1" applyBorder="1" applyAlignment="1">
      <alignment horizontal="center" vertical="center" wrapText="1"/>
    </xf>
    <xf numFmtId="167" fontId="72" fillId="26" borderId="3" xfId="0" applyNumberFormat="1" applyFont="1" applyFill="1" applyBorder="1" applyAlignment="1">
      <alignment vertical="center" wrapText="1"/>
    </xf>
    <xf numFmtId="180" fontId="85" fillId="26" borderId="22" xfId="0" applyNumberFormat="1" applyFont="1" applyFill="1" applyBorder="1"/>
    <xf numFmtId="175" fontId="72" fillId="26" borderId="0" xfId="0" applyNumberFormat="1" applyFont="1" applyFill="1" applyAlignment="1">
      <alignment vertical="center" wrapText="1"/>
    </xf>
    <xf numFmtId="167" fontId="79" fillId="0" borderId="15" xfId="0" applyNumberFormat="1" applyFont="1" applyBorder="1" applyAlignment="1">
      <alignment vertical="center" wrapText="1"/>
    </xf>
    <xf numFmtId="176" fontId="72" fillId="0" borderId="22" xfId="0" applyNumberFormat="1" applyFont="1" applyBorder="1" applyAlignment="1">
      <alignment horizontal="center" vertical="center" wrapText="1"/>
    </xf>
    <xf numFmtId="177" fontId="79" fillId="0" borderId="15" xfId="0" applyNumberFormat="1" applyFont="1" applyFill="1" applyBorder="1" applyAlignment="1">
      <alignment vertical="center" wrapText="1"/>
    </xf>
    <xf numFmtId="0" fontId="81" fillId="0" borderId="0" xfId="0" applyFont="1" applyFill="1"/>
    <xf numFmtId="0" fontId="81" fillId="0" borderId="22" xfId="0" applyFont="1" applyFill="1" applyBorder="1" applyAlignment="1">
      <alignment horizontal="center" wrapText="1"/>
    </xf>
    <xf numFmtId="0" fontId="84" fillId="0" borderId="0" xfId="0" applyFont="1" applyFill="1"/>
    <xf numFmtId="0" fontId="82" fillId="0" borderId="0" xfId="0" applyFont="1" applyFill="1" applyAlignment="1">
      <alignment horizontal="center"/>
    </xf>
    <xf numFmtId="0" fontId="81" fillId="0" borderId="0" xfId="0" applyFont="1" applyFill="1" applyAlignment="1">
      <alignment wrapText="1"/>
    </xf>
    <xf numFmtId="0" fontId="81" fillId="0" borderId="22" xfId="0" applyFont="1" applyFill="1" applyBorder="1" applyAlignment="1">
      <alignment horizontal="center"/>
    </xf>
    <xf numFmtId="0" fontId="81" fillId="0" borderId="22" xfId="0" applyFont="1" applyFill="1" applyBorder="1"/>
    <xf numFmtId="180" fontId="81" fillId="0" borderId="22" xfId="0" applyNumberFormat="1" applyFont="1" applyFill="1" applyBorder="1"/>
    <xf numFmtId="1" fontId="81" fillId="0" borderId="22" xfId="0" applyNumberFormat="1" applyFont="1" applyFill="1" applyBorder="1"/>
    <xf numFmtId="0" fontId="81" fillId="0" borderId="22" xfId="0" applyFont="1" applyFill="1" applyBorder="1" applyAlignment="1">
      <alignment wrapText="1"/>
    </xf>
    <xf numFmtId="0" fontId="82" fillId="0" borderId="0" xfId="0" applyFont="1" applyFill="1"/>
    <xf numFmtId="1" fontId="81" fillId="0" borderId="22" xfId="0" applyNumberFormat="1" applyFont="1" applyFill="1" applyBorder="1" applyAlignment="1">
      <alignment horizontal="center"/>
    </xf>
    <xf numFmtId="49" fontId="81" fillId="0" borderId="22" xfId="0" applyNumberFormat="1" applyFont="1" applyFill="1" applyBorder="1" applyAlignment="1">
      <alignment horizontal="center"/>
    </xf>
    <xf numFmtId="0" fontId="56" fillId="0" borderId="0" xfId="0" applyFont="1" applyAlignment="1">
      <alignment horizontal="left" vertical="center"/>
    </xf>
    <xf numFmtId="0" fontId="56" fillId="22" borderId="0" xfId="0" applyFont="1" applyFill="1" applyAlignment="1">
      <alignment vertical="top" wrapText="1"/>
    </xf>
    <xf numFmtId="0" fontId="57" fillId="0" borderId="0" xfId="0" applyFont="1" applyAlignment="1">
      <alignment horizontal="left" vertical="center" wrapText="1"/>
    </xf>
    <xf numFmtId="0" fontId="61" fillId="0" borderId="20" xfId="0" applyFont="1" applyBorder="1" applyAlignment="1">
      <alignment horizontal="left" vertical="center" wrapText="1"/>
    </xf>
    <xf numFmtId="0" fontId="60" fillId="0" borderId="0" xfId="0" applyFont="1" applyAlignment="1">
      <alignment horizontal="left" vertical="center" wrapText="1"/>
    </xf>
    <xf numFmtId="0" fontId="56" fillId="0" borderId="0" xfId="0" applyFont="1" applyAlignment="1">
      <alignment horizontal="center" vertical="center"/>
    </xf>
    <xf numFmtId="0" fontId="61" fillId="0" borderId="20" xfId="0" applyFont="1" applyBorder="1" applyAlignment="1">
      <alignment horizontal="center" vertical="center" wrapText="1"/>
    </xf>
    <xf numFmtId="0" fontId="65" fillId="0" borderId="0" xfId="0" applyFont="1" applyAlignment="1">
      <alignment horizontal="center" vertical="center"/>
    </xf>
    <xf numFmtId="0" fontId="56" fillId="0" borderId="14" xfId="0" applyFont="1" applyBorder="1" applyAlignment="1">
      <alignment horizontal="left" vertical="center" wrapText="1"/>
    </xf>
    <xf numFmtId="0" fontId="58" fillId="0" borderId="14" xfId="0" applyFont="1" applyBorder="1" applyAlignment="1">
      <alignment horizontal="left" vertical="center" wrapText="1"/>
    </xf>
    <xf numFmtId="0" fontId="56" fillId="0" borderId="12" xfId="0" applyFont="1" applyBorder="1" applyAlignment="1">
      <alignment horizontal="left" vertical="center" wrapText="1"/>
    </xf>
    <xf numFmtId="0" fontId="58" fillId="0" borderId="3" xfId="0" applyFont="1" applyBorder="1" applyAlignment="1">
      <alignment horizontal="center" vertical="center"/>
    </xf>
    <xf numFmtId="0" fontId="58" fillId="0" borderId="0" xfId="0" applyFont="1" applyAlignment="1">
      <alignment horizontal="center" vertical="center"/>
    </xf>
    <xf numFmtId="0" fontId="56" fillId="0" borderId="3" xfId="0" applyFont="1" applyBorder="1" applyAlignment="1">
      <alignment horizontal="center" vertical="center"/>
    </xf>
    <xf numFmtId="0" fontId="56" fillId="0" borderId="3" xfId="0" applyFont="1" applyBorder="1" applyAlignment="1">
      <alignment horizontal="center" vertical="center" wrapText="1"/>
    </xf>
    <xf numFmtId="0" fontId="56" fillId="0" borderId="3" xfId="0" applyFont="1" applyBorder="1" applyAlignment="1">
      <alignment horizontal="center" vertical="center" wrapText="1" shrinkToFit="1"/>
    </xf>
    <xf numFmtId="175" fontId="56" fillId="0" borderId="0" xfId="0" applyNumberFormat="1" applyFont="1" applyAlignment="1">
      <alignment horizontal="center" vertical="center" wrapText="1"/>
    </xf>
    <xf numFmtId="0" fontId="58" fillId="0" borderId="0" xfId="0" applyFont="1" applyAlignment="1">
      <alignment vertical="center"/>
    </xf>
    <xf numFmtId="0" fontId="58" fillId="0" borderId="3" xfId="0" applyFont="1" applyBorder="1" applyAlignment="1">
      <alignment horizontal="center" vertical="center" wrapText="1"/>
    </xf>
    <xf numFmtId="0" fontId="58" fillId="0" borderId="3" xfId="0" applyFont="1" applyBorder="1" applyAlignment="1" applyProtection="1">
      <alignment horizontal="center"/>
      <protection locked="0"/>
    </xf>
    <xf numFmtId="0" fontId="58" fillId="0" borderId="3" xfId="237" applyFont="1" applyBorder="1" applyAlignment="1">
      <alignment horizontal="center" vertical="center" wrapText="1"/>
    </xf>
    <xf numFmtId="0" fontId="65" fillId="22" borderId="0" xfId="0" applyFont="1" applyFill="1" applyBorder="1" applyAlignment="1">
      <alignment vertical="top" wrapText="1"/>
    </xf>
    <xf numFmtId="0" fontId="65" fillId="22" borderId="20" xfId="0" applyFont="1" applyFill="1" applyBorder="1" applyAlignment="1">
      <alignment vertical="top" wrapText="1"/>
    </xf>
    <xf numFmtId="0" fontId="72" fillId="0" borderId="14" xfId="0" applyFont="1" applyFill="1" applyBorder="1" applyAlignment="1">
      <alignment horizontal="left" vertical="center" wrapText="1"/>
    </xf>
    <xf numFmtId="0" fontId="75" fillId="0" borderId="14" xfId="0" applyFont="1" applyFill="1" applyBorder="1" applyAlignment="1">
      <alignment horizontal="left" vertical="center" wrapText="1"/>
    </xf>
    <xf numFmtId="0" fontId="72" fillId="0" borderId="12" xfId="0" applyFont="1" applyFill="1" applyBorder="1" applyAlignment="1">
      <alignment horizontal="left" vertical="center" wrapText="1"/>
    </xf>
    <xf numFmtId="167" fontId="72" fillId="0" borderId="14" xfId="0" applyNumberFormat="1" applyFont="1" applyFill="1" applyBorder="1" applyAlignment="1">
      <alignment vertical="center" wrapText="1"/>
    </xf>
    <xf numFmtId="0" fontId="75" fillId="0" borderId="0" xfId="0" applyFont="1" applyFill="1" applyBorder="1" applyAlignment="1">
      <alignment horizontal="center" vertical="center"/>
    </xf>
    <xf numFmtId="0" fontId="72" fillId="0" borderId="0" xfId="0" applyFont="1" applyFill="1" applyBorder="1" applyAlignment="1">
      <alignment horizontal="center" vertical="center"/>
    </xf>
    <xf numFmtId="0" fontId="72" fillId="0" borderId="25" xfId="0" applyFont="1" applyFill="1" applyBorder="1" applyAlignment="1">
      <alignment horizontal="center" vertical="center"/>
    </xf>
    <xf numFmtId="0" fontId="72" fillId="0" borderId="26" xfId="0" applyFont="1" applyFill="1" applyBorder="1" applyAlignment="1">
      <alignment horizontal="center" vertical="center"/>
    </xf>
    <xf numFmtId="0" fontId="72" fillId="0" borderId="25" xfId="0" applyFont="1" applyFill="1" applyBorder="1" applyAlignment="1">
      <alignment horizontal="center" vertical="center" wrapText="1"/>
    </xf>
    <xf numFmtId="0" fontId="72" fillId="0" borderId="26" xfId="0" applyFont="1" applyFill="1" applyBorder="1" applyAlignment="1">
      <alignment horizontal="center" vertical="center" wrapText="1"/>
    </xf>
    <xf numFmtId="0" fontId="72" fillId="0" borderId="27" xfId="0" applyFont="1" applyFill="1" applyBorder="1" applyAlignment="1">
      <alignment horizontal="center" vertical="center" wrapText="1"/>
    </xf>
    <xf numFmtId="0" fontId="72" fillId="0" borderId="28" xfId="0" applyFont="1" applyFill="1" applyBorder="1" applyAlignment="1">
      <alignment horizontal="center" vertical="center" wrapText="1"/>
    </xf>
    <xf numFmtId="0" fontId="72" fillId="0" borderId="27" xfId="245" applyFont="1" applyFill="1" applyBorder="1" applyAlignment="1">
      <alignment horizontal="center" vertical="center"/>
    </xf>
    <xf numFmtId="0" fontId="72" fillId="0" borderId="29" xfId="245" applyFont="1" applyFill="1" applyBorder="1" applyAlignment="1">
      <alignment horizontal="center" vertical="center"/>
    </xf>
    <xf numFmtId="0" fontId="72" fillId="0" borderId="28" xfId="245" applyFont="1" applyFill="1" applyBorder="1" applyAlignment="1">
      <alignment horizontal="center" vertical="center"/>
    </xf>
    <xf numFmtId="0" fontId="75" fillId="0" borderId="27" xfId="0" applyFont="1" applyFill="1" applyBorder="1" applyAlignment="1">
      <alignment horizontal="center" vertical="center" wrapText="1"/>
    </xf>
    <xf numFmtId="0" fontId="75" fillId="0" borderId="29" xfId="0" applyFont="1" applyFill="1" applyBorder="1" applyAlignment="1">
      <alignment horizontal="center" vertical="center" wrapText="1"/>
    </xf>
    <xf numFmtId="0" fontId="75" fillId="0" borderId="28" xfId="0" applyFont="1" applyFill="1" applyBorder="1" applyAlignment="1">
      <alignment horizontal="center" vertical="center" wrapText="1"/>
    </xf>
    <xf numFmtId="0" fontId="75" fillId="0" borderId="27" xfId="0" applyFont="1" applyFill="1" applyBorder="1" applyAlignment="1" applyProtection="1">
      <alignment horizontal="center" vertical="center" wrapText="1"/>
      <protection locked="0"/>
    </xf>
    <xf numFmtId="0" fontId="75" fillId="0" borderId="29" xfId="0" applyFont="1" applyFill="1" applyBorder="1" applyAlignment="1" applyProtection="1">
      <alignment horizontal="center" vertical="center" wrapText="1"/>
      <protection locked="0"/>
    </xf>
    <xf numFmtId="0" fontId="75" fillId="0" borderId="28" xfId="0" applyFont="1" applyFill="1" applyBorder="1" applyAlignment="1" applyProtection="1">
      <alignment horizontal="center" vertical="center" wrapText="1"/>
      <protection locked="0"/>
    </xf>
    <xf numFmtId="0" fontId="75" fillId="0" borderId="27" xfId="237" applyNumberFormat="1" applyFont="1" applyFill="1" applyBorder="1" applyAlignment="1">
      <alignment horizontal="center" vertical="center" wrapText="1"/>
    </xf>
    <xf numFmtId="0" fontId="75" fillId="0" borderId="29" xfId="237" applyNumberFormat="1" applyFont="1" applyFill="1" applyBorder="1" applyAlignment="1">
      <alignment horizontal="center" vertical="center" wrapText="1"/>
    </xf>
    <xf numFmtId="0" fontId="75" fillId="0" borderId="28" xfId="237" applyNumberFormat="1" applyFont="1" applyFill="1" applyBorder="1" applyAlignment="1">
      <alignment horizontal="center" vertical="center" wrapText="1"/>
    </xf>
    <xf numFmtId="175" fontId="72" fillId="0" borderId="0" xfId="0" applyNumberFormat="1" applyFont="1" applyFill="1" applyBorder="1" applyAlignment="1">
      <alignment horizontal="center" vertical="center" wrapText="1"/>
    </xf>
    <xf numFmtId="0" fontId="75" fillId="0" borderId="30" xfId="0" applyFont="1" applyBorder="1" applyAlignment="1" applyProtection="1">
      <alignment horizontal="center" vertical="center" wrapText="1"/>
      <protection locked="0"/>
    </xf>
    <xf numFmtId="0" fontId="75" fillId="0" borderId="30" xfId="237" applyFont="1" applyBorder="1" applyAlignment="1">
      <alignment horizontal="center" vertical="center" wrapText="1"/>
    </xf>
    <xf numFmtId="0" fontId="75" fillId="0" borderId="30" xfId="0" applyFont="1" applyBorder="1" applyAlignment="1">
      <alignment horizontal="center" vertical="center" wrapText="1"/>
    </xf>
    <xf numFmtId="175" fontId="75" fillId="0" borderId="0" xfId="0" applyNumberFormat="1" applyFont="1" applyAlignment="1">
      <alignment horizontal="center" vertical="center" wrapText="1"/>
    </xf>
    <xf numFmtId="0" fontId="75" fillId="0" borderId="0" xfId="0" applyFont="1" applyAlignment="1">
      <alignment horizontal="center" vertical="center"/>
    </xf>
    <xf numFmtId="0" fontId="72" fillId="0" borderId="3" xfId="0" applyFont="1" applyBorder="1" applyAlignment="1">
      <alignment horizontal="center" vertical="center"/>
    </xf>
    <xf numFmtId="0" fontId="72" fillId="0" borderId="3" xfId="0" applyFont="1" applyBorder="1" applyAlignment="1">
      <alignment horizontal="center" vertical="center" wrapText="1"/>
    </xf>
    <xf numFmtId="0" fontId="78" fillId="0" borderId="17" xfId="245" applyFont="1" applyBorder="1" applyAlignment="1">
      <alignment horizontal="center" vertical="center"/>
    </xf>
    <xf numFmtId="0" fontId="78" fillId="0" borderId="14" xfId="245" applyFont="1" applyBorder="1" applyAlignment="1">
      <alignment horizontal="center" vertical="center"/>
    </xf>
    <xf numFmtId="0" fontId="72" fillId="0" borderId="14" xfId="0" applyFont="1" applyBorder="1" applyAlignment="1">
      <alignment horizontal="left" vertical="center" wrapText="1"/>
    </xf>
    <xf numFmtId="0" fontId="72" fillId="0" borderId="0" xfId="0" applyFont="1" applyAlignment="1">
      <alignment horizontal="center" vertical="center"/>
    </xf>
    <xf numFmtId="167" fontId="72" fillId="0" borderId="14" xfId="0" applyNumberFormat="1" applyFont="1" applyBorder="1" applyAlignment="1">
      <alignment horizontal="left" vertical="center" wrapText="1"/>
    </xf>
    <xf numFmtId="0" fontId="72" fillId="27" borderId="20" xfId="0" applyFont="1" applyFill="1" applyBorder="1" applyAlignment="1">
      <alignment vertical="top" wrapText="1"/>
    </xf>
    <xf numFmtId="0" fontId="75" fillId="0" borderId="14" xfId="0" applyFont="1" applyBorder="1" applyAlignment="1">
      <alignment horizontal="left" vertical="center" wrapText="1"/>
    </xf>
    <xf numFmtId="0" fontId="75" fillId="0" borderId="12" xfId="0" applyFont="1" applyBorder="1" applyAlignment="1">
      <alignment horizontal="left" vertical="center" wrapText="1"/>
    </xf>
    <xf numFmtId="0" fontId="75" fillId="0" borderId="12" xfId="0" applyFont="1" applyFill="1" applyBorder="1" applyAlignment="1">
      <alignment horizontal="left" vertical="center" wrapText="1"/>
    </xf>
    <xf numFmtId="4" fontId="82" fillId="0" borderId="22" xfId="0" applyNumberFormat="1" applyFont="1" applyFill="1" applyBorder="1" applyAlignment="1">
      <alignment horizontal="center" wrapText="1"/>
    </xf>
    <xf numFmtId="0" fontId="82" fillId="0" borderId="22" xfId="0" applyFont="1" applyFill="1" applyBorder="1" applyAlignment="1">
      <alignment horizontal="center"/>
    </xf>
    <xf numFmtId="0" fontId="82" fillId="0" borderId="22" xfId="0" applyFont="1" applyFill="1" applyBorder="1" applyAlignment="1">
      <alignment horizontal="center" wrapText="1"/>
    </xf>
    <xf numFmtId="0" fontId="81" fillId="0" borderId="22" xfId="0" applyFont="1" applyFill="1" applyBorder="1" applyAlignment="1">
      <alignment horizontal="center" vertical="center"/>
    </xf>
    <xf numFmtId="0" fontId="81" fillId="0" borderId="22" xfId="0" applyFont="1" applyFill="1" applyBorder="1" applyAlignment="1">
      <alignment horizontal="center" vertical="center" wrapText="1"/>
    </xf>
    <xf numFmtId="0" fontId="83" fillId="0" borderId="0" xfId="0" applyFont="1" applyFill="1" applyAlignment="1">
      <alignment horizontal="center"/>
    </xf>
    <xf numFmtId="0" fontId="81" fillId="0" borderId="22" xfId="0" applyFont="1" applyFill="1" applyBorder="1" applyAlignment="1">
      <alignment horizontal="center" wrapText="1"/>
    </xf>
  </cellXfs>
  <cellStyles count="353">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1"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1" xfId="105"/>
    <cellStyle name="Heading 1 1" xfId="106"/>
    <cellStyle name="Heading 2 1"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1" xfId="179"/>
    <cellStyle name="Normal 2" xfId="180"/>
    <cellStyle name="Normal_2005_03_15-Финансовый_БГ" xfId="181"/>
    <cellStyle name="Normal_GSE DCF_Model_31_07_09 final" xfId="182"/>
    <cellStyle name="Note 1"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2" xfId="323"/>
    <cellStyle name="Финансовый 2 10" xfId="324"/>
    <cellStyle name="Финансовый 2 11" xfId="325"/>
    <cellStyle name="Финансовый 2 12" xfId="326"/>
    <cellStyle name="Финансовый 2 13" xfId="327"/>
    <cellStyle name="Финансовый 2 14" xfId="328"/>
    <cellStyle name="Финансовый 2 15" xfId="329"/>
    <cellStyle name="Финансовый 2 16" xfId="330"/>
    <cellStyle name="Финансовый 2 17" xfId="331"/>
    <cellStyle name="Финансовый 2 2" xfId="332"/>
    <cellStyle name="Финансовый 2 3" xfId="333"/>
    <cellStyle name="Финансовый 2 4" xfId="334"/>
    <cellStyle name="Финансовый 2 5" xfId="335"/>
    <cellStyle name="Финансовый 2 6" xfId="336"/>
    <cellStyle name="Финансовый 2 7" xfId="337"/>
    <cellStyle name="Финансовый 2 8" xfId="338"/>
    <cellStyle name="Финансовый 2 9" xfId="339"/>
    <cellStyle name="Финансовый 3" xfId="340"/>
    <cellStyle name="Финансовый 3 2" xfId="341"/>
    <cellStyle name="Финансовый 4" xfId="342"/>
    <cellStyle name="Финансовый 4 2" xfId="343"/>
    <cellStyle name="Финансовый 4 3" xfId="344"/>
    <cellStyle name="Финансовый 5" xfId="345"/>
    <cellStyle name="Финансовый 6" xfId="346"/>
    <cellStyle name="Финансовый 7" xfId="347"/>
    <cellStyle name="Хороший 2" xfId="348"/>
    <cellStyle name="Хороший 3" xfId="349"/>
    <cellStyle name="числовой" xfId="350"/>
    <cellStyle name="Ю" xfId="351"/>
    <cellStyle name="Ю-FreeSet_10" xfId="3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externalLink" Target="externalLinks/externalLink18.xml"/><Relationship Id="rId39" Type="http://schemas.openxmlformats.org/officeDocument/2006/relationships/externalLink" Target="externalLinks/externalLink31.xml"/><Relationship Id="rId3" Type="http://schemas.openxmlformats.org/officeDocument/2006/relationships/worksheet" Target="worksheets/sheet3.xml"/><Relationship Id="rId21" Type="http://schemas.openxmlformats.org/officeDocument/2006/relationships/externalLink" Target="externalLinks/externalLink13.xml"/><Relationship Id="rId34" Type="http://schemas.openxmlformats.org/officeDocument/2006/relationships/externalLink" Target="externalLinks/externalLink26.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externalLink" Target="externalLinks/externalLink17.xml"/><Relationship Id="rId33" Type="http://schemas.openxmlformats.org/officeDocument/2006/relationships/externalLink" Target="externalLinks/externalLink25.xml"/><Relationship Id="rId38" Type="http://schemas.openxmlformats.org/officeDocument/2006/relationships/externalLink" Target="externalLinks/externalLink30.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29" Type="http://schemas.openxmlformats.org/officeDocument/2006/relationships/externalLink" Target="externalLinks/externalLink21.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32" Type="http://schemas.openxmlformats.org/officeDocument/2006/relationships/externalLink" Target="externalLinks/externalLink24.xml"/><Relationship Id="rId37" Type="http://schemas.openxmlformats.org/officeDocument/2006/relationships/externalLink" Target="externalLinks/externalLink29.xml"/><Relationship Id="rId40" Type="http://schemas.openxmlformats.org/officeDocument/2006/relationships/externalLink" Target="externalLinks/externalLink32.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externalLink" Target="externalLinks/externalLink20.xml"/><Relationship Id="rId36" Type="http://schemas.openxmlformats.org/officeDocument/2006/relationships/externalLink" Target="externalLinks/externalLink28.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31" Type="http://schemas.openxmlformats.org/officeDocument/2006/relationships/externalLink" Target="externalLinks/externalLink23.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externalLink" Target="externalLinks/externalLink19.xml"/><Relationship Id="rId30" Type="http://schemas.openxmlformats.org/officeDocument/2006/relationships/externalLink" Target="externalLinks/externalLink22.xml"/><Relationship Id="rId35" Type="http://schemas.openxmlformats.org/officeDocument/2006/relationships/externalLink" Target="externalLinks/externalLink27.xml"/><Relationship Id="rId43"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Ariadna\Sum_pok.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25252525).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Users\userlocalM013\Desktop\&#1042;&#1080;&#1090;&#1072;\2022\&#1060;&#1110;&#1085;&#1087;&#1083;&#1072;&#1085;\&#1050;&#1053;&#1055;%20&#1057;&#1054;&#1056;%20&#1057;&#1054;&#1050;&#1057;&#1055;%20&#1047;&#1042;I&#1058;%20&#1087;&#1088;&#1086;%20&#1074;&#1080;&#1082;&#1086;&#1085;&#1072;&#1085;&#1085;&#1103;%20&#1060;&#1048;&#1053;&#1055;&#1051;&#1040;&#1053;&#1059;%20&#1079;&#1072;%20202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1993"/>
      <sheetName val="7  Інші витрати"/>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Setup"/>
      <sheetName val="200"/>
      <sheetName val="gd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7  інші витрати"/>
      <sheetName val="попер_роз"/>
      <sheetName val="Inform"/>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gdp"/>
      <sheetName val="база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МТР Газ України"/>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БАЗА  "/>
      <sheetName val="МТР_Газ_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efreshError="1"/>
      <sheetData sheetId="59"/>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s>
    <definedNames>
      <definedName name="ShowFil" refersTo="#ССЫЛКА!"/>
    </defined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Лист1"/>
      <sheetName val="МТР все 2"/>
      <sheetName val="Правила ДДС"/>
      <sheetName val="Inform"/>
      <sheetName val="база  "/>
      <sheetName val="7  Інші витрати"/>
      <sheetName val="Links"/>
      <sheetName val="Lead"/>
      <sheetName val="P_SC"/>
      <sheetName val="XLR_NoRangeSheet"/>
      <sheetName val="МТР_Газ_України"/>
      <sheetName val="МТР_все_2"/>
      <sheetName val="попер_ро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refreshError="1"/>
      <sheetData sheetId="12" refreshError="1"/>
      <sheetData sheetId="1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Inform"/>
      <sheetName val="база  "/>
      <sheetName val="Лист1"/>
      <sheetName val="МТР все - 5"/>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1993"/>
      <sheetName val="cj"/>
      <sheetName val="7  інші витра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sheetData sheetId="14"/>
      <sheetData sheetId="15"/>
      <sheetData sheetId="16"/>
      <sheetData sheetId="17"/>
      <sheetData sheetId="18"/>
      <sheetData sheetId="19"/>
      <sheetData sheetId="20"/>
      <sheetData sheetId="21" refreshError="1"/>
      <sheetData sheetId="22" refreshError="1"/>
      <sheetData sheetId="23"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база  "/>
      <sheetName val="7  інші витрати"/>
      <sheetName val="МТР_Газ_України"/>
      <sheetName val="Допущения"/>
    </sheetNames>
    <sheetDataSet>
      <sheetData sheetId="0" refreshError="1"/>
      <sheetData sheetId="1" refreshError="1"/>
      <sheetData sheetId="2"/>
      <sheetData sheetId="3" refreshError="1"/>
      <sheetData sheetId="4"/>
      <sheetData sheetId="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попер_роз"/>
      <sheetName val="7  Інші витрати"/>
      <sheetName val="Inform"/>
      <sheetName val="Лист1"/>
      <sheetName val="МТР все 2"/>
      <sheetName val="МТР_Газ_України"/>
      <sheetName val="Assumptions and Inputs"/>
    </sheetNames>
    <sheetDataSet>
      <sheetData sheetId="0" refreshError="1"/>
      <sheetData sheetId="1" refreshError="1"/>
      <sheetData sheetId="2" refreshError="1"/>
      <sheetData sheetId="3" refreshError="1"/>
      <sheetData sheetId="4" refreshError="1"/>
      <sheetData sheetId="5"/>
      <sheetData sheetId="6"/>
      <sheetData sheetId="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7  інші витрати"/>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Maintenance"/>
      <sheetName val="Лист1"/>
      <sheetName val="МТР все 2"/>
      <sheetName val="2002"/>
      <sheetName val="20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refreshError="1"/>
      <sheetData sheetId="18" refreshError="1"/>
      <sheetData sheetId="19" refreshError="1"/>
      <sheetData sheetId="20" refreshError="1"/>
      <sheetData sheetId="21"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Ф2"/>
      <sheetName val="Setup"/>
      <sheetName val="200"/>
      <sheetName val="1993"/>
      <sheetName val="Ener "/>
      <sheetName val="МТР все - 5"/>
      <sheetName val="Лист1"/>
      <sheetName val="МТР_Апарат1"/>
      <sheetName val="МТР_Газ_України1"/>
      <sheetName val="МТР_Укртрансгаз1"/>
      <sheetName val="МТР_Укргазвидобування1"/>
      <sheetName val="МТР_Укрспецтрансгаз1"/>
      <sheetName val="МТР_Чорноморнафтогаз1"/>
      <sheetName val="МТР_Укртранснафта1"/>
      <sheetName val="МТР_Газ-тепло1"/>
      <sheetName val="Inform"/>
      <sheetName val="Internal Data"/>
      <sheetName val="попер_ро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Inform"/>
      <sheetName val="7  інші витрати"/>
      <sheetName val="1993"/>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gd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sheetData sheetId="13"/>
      <sheetData sheetId="14"/>
      <sheetData sheetId="15"/>
      <sheetData sheetId="16"/>
      <sheetData sheetId="17"/>
      <sheetData sheetId="18"/>
      <sheetData sheetId="19"/>
      <sheetData sheetId="2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база  "/>
      <sheetName val="gdp"/>
      <sheetName val="7  інші витрати"/>
      <sheetName val="МТР_Газ_України"/>
    </sheetNames>
    <sheetDataSet>
      <sheetData sheetId="0" refreshError="1"/>
      <sheetData sheetId="1" refreshError="1"/>
      <sheetData sheetId="2"/>
      <sheetData sheetId="3" refreshError="1"/>
      <sheetData sheetId="4" refreshError="1"/>
      <sheetData sheetId="5"/>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база  "/>
      <sheetName val="7  інші витрати"/>
      <sheetName val="МТР Газ України"/>
      <sheetName val="п"/>
    </sheetNames>
    <sheetDataSet>
      <sheetData sheetId="0" refreshError="1"/>
      <sheetData sheetId="1" refreshError="1"/>
      <sheetData sheetId="2" refreshError="1"/>
      <sheetData sheetId="3" refreshError="1"/>
      <sheetData sheetId="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база  "/>
      <sheetName val="Лист1"/>
      <sheetName val="МТР все 2"/>
      <sheetName val="МТР_Газ_України"/>
      <sheetName val="попер_роз"/>
      <sheetName val="assumptions and inputs"/>
      <sheetName val="Cash Flows"/>
      <sheetName val="Terminal Value"/>
      <sheetName val="7  інші витрат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Ener "/>
      <sheetName val="Лист1"/>
      <sheetName val="МТР все 2"/>
      <sheetName val="МТР_Газ_України"/>
      <sheetName val="МТР Апарат"/>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ТРП"/>
      <sheetName val="Inform"/>
      <sheetName val="7  Інші витрати"/>
      <sheetName val="gdp"/>
      <sheetName val="1993"/>
      <sheetName val="Бюдж. баланс "/>
      <sheetName val="параметри"/>
      <sheetName val="Додаток 3"/>
      <sheetName val="Ener_"/>
      <sheetName val="попер_ро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refreshError="1"/>
      <sheetData sheetId="27" refreshError="1"/>
      <sheetData sheetId="28"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 val="МТР Газ України"/>
      <sheetName val="БАЗА__"/>
      <sheetName val="БАЗА___(2)"/>
      <sheetName val="БАЗА___(3)"/>
      <sheetName val="БАЗА___(5)"/>
      <sheetName val="БАЗА___(4)"/>
      <sheetName val="Припущення"/>
      <sheetName val="Ener "/>
      <sheetName val="Осн. фін. пок. "/>
      <sheetName val="Inform"/>
      <sheetName val="МТР_Газ_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sheetData sheetId="21" refreshError="1"/>
      <sheetData sheetId="22" refreshError="1"/>
      <sheetData sheetId="2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Правила ДДС"/>
      <sheetName val="7  інші витрати"/>
      <sheetName val="1993"/>
      <sheetName val="п"/>
      <sheetName val="МТР Газ України"/>
      <sheetName val="Assumptions and Inputs"/>
      <sheetName val="Лист1"/>
      <sheetName val="consolidation hq formatted"/>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Inform"/>
      <sheetName val="f-20"/>
      <sheetName val="МТР Газ України"/>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БАЗА  "/>
      <sheetName val="Ener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 val="7  Інші витрати"/>
      <sheetName val="скрыть"/>
      <sheetName val="попер_роз"/>
      <sheetName val="Лист1"/>
      <sheetName val="consolidation hq formatted"/>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Технич лист"/>
      <sheetName val="до викупа"/>
      <sheetName val="gdp"/>
      <sheetName val="МТР Газ України"/>
      <sheetName val="Лист1"/>
      <sheetName val="Розш. ел. витрат за 9 місяців"/>
      <sheetName val="Рокада"/>
      <sheetName val="Ener "/>
      <sheetName val="7  інші витра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 val="реестр заявок"/>
      <sheetName val="ЗКЛ"/>
      <sheetName val="реестр_заявок"/>
      <sheetName val="Лист1"/>
      <sheetName val="Рабоч"/>
      <sheetName val="МТР Газ України"/>
      <sheetName val="7  Інші витрати"/>
      <sheetName val="1993"/>
      <sheetName val="Ener "/>
      <sheetName val="додаток 1"/>
      <sheetName val="база  "/>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 val="11)423+424"/>
      <sheetName val="Chart_of_accs"/>
      <sheetName val="реестр заявок"/>
      <sheetName val="ЗКЛ"/>
      <sheetName val="реестр_заявок"/>
      <sheetName val="Лист1"/>
      <sheetName val="Рабоч"/>
      <sheetName val="7  Інші витрати"/>
      <sheetName val="1993"/>
      <sheetName val="БАЗА  "/>
      <sheetName val="до викупа"/>
      <sheetName val="Note2 to do "/>
      <sheetName val="4сд"/>
      <sheetName val="2сд"/>
      <sheetName val="7сд"/>
      <sheetName val="Лист2"/>
      <sheetName val="припущення"/>
      <sheetName val="МТР_Газ_України"/>
      <sheetName val="gdp"/>
      <sheetName val="Setup"/>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refreshError="1"/>
      <sheetData sheetId="46"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 val="База"/>
      <sheetName val="Note2 to do "/>
      <sheetName val="4сд"/>
      <sheetName val="2сд"/>
      <sheetName val="7сд"/>
      <sheetName val="МТР Газ України"/>
      <sheetName val="7  Інші витрати"/>
      <sheetName val="1993"/>
      <sheetName val="Лист2"/>
      <sheetName val="припущення"/>
      <sheetName val="т17мб(шаблон)"/>
      <sheetName val="Set"/>
      <sheetName val="додаток  3"/>
      <sheetName val="база  "/>
      <sheetName val="реестр_заявок1"/>
      <sheetName val="mt bk"/>
      <sheetName val="Ener "/>
      <sheetName val="рэс п"/>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кв.21"/>
      <sheetName val="1 кв.22"/>
      <sheetName val="1 кв"/>
      <sheetName val="2 кв.22"/>
      <sheetName val="2 кв"/>
      <sheetName val="3 кв"/>
      <sheetName val="4 кв"/>
      <sheetName val="рік"/>
      <sheetName val="3 кв 21"/>
      <sheetName val="4 кв 21"/>
      <sheetName val="2 кв 21"/>
    </sheetNames>
    <sheetDataSet>
      <sheetData sheetId="0">
        <row r="81">
          <cell r="J81">
            <v>0</v>
          </cell>
        </row>
        <row r="84">
          <cell r="J84">
            <v>0</v>
          </cell>
        </row>
        <row r="87">
          <cell r="J87">
            <v>0</v>
          </cell>
        </row>
      </sheetData>
      <sheetData sheetId="1" refreshError="1"/>
      <sheetData sheetId="2"/>
      <sheetData sheetId="3">
        <row r="57">
          <cell r="F57">
            <v>0.1</v>
          </cell>
        </row>
      </sheetData>
      <sheetData sheetId="4" refreshError="1"/>
      <sheetData sheetId="5">
        <row r="101">
          <cell r="F101">
            <v>0</v>
          </cell>
        </row>
      </sheetData>
      <sheetData sheetId="6">
        <row r="101">
          <cell r="F101">
            <v>0</v>
          </cell>
        </row>
        <row r="180">
          <cell r="F180">
            <v>2899.2734530000007</v>
          </cell>
        </row>
      </sheetData>
      <sheetData sheetId="7"/>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Лист2"/>
      <sheetName val="МТР Газ України"/>
      <sheetName val="7  інші витрати"/>
      <sheetName val="Ener "/>
      <sheetName val="1993"/>
      <sheetName val="gdp"/>
      <sheetName val="assumption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_Структура по елементах"/>
      <sheetName val="Д3"/>
      <sheetName val="7  інші витрати"/>
      <sheetName val="МТР Газ України"/>
      <sheetName val="1993"/>
      <sheetName val="gdp"/>
      <sheetName val="Assumption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МТР Газ України"/>
      <sheetName val="gdp"/>
      <sheetName val="7  інші витрати"/>
      <sheetName val="1993"/>
      <sheetName val="comp"/>
    </sheetNames>
    <sheetDataSet>
      <sheetData sheetId="0" refreshError="1"/>
      <sheetData sheetId="1"/>
      <sheetData sheetId="2" refreshError="1"/>
      <sheetData sheetId="3" refreshError="1"/>
      <sheetData sheetId="4" refreshError="1"/>
      <sheetData sheetId="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1_Структура по елементах"/>
      <sheetName val="Current"/>
      <sheetName val="Лист1"/>
      <sheetName val="МТР все 2"/>
      <sheetName val="МТР Апарат"/>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TB"/>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Ener "/>
      <sheetName val="МТР_Газ_України"/>
      <sheetName val="МТР_Апарат"/>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Тит стор"/>
      <sheetName val="Sheet1"/>
      <sheetName val="Cons_FS"/>
      <sheetName val="General"/>
      <sheetName val="SC_Lists"/>
      <sheetName val="Scenarios"/>
      <sheetName val="Gas_SSO"/>
      <sheetName val="Gas_TSO"/>
      <sheetName val="UGV_Gas"/>
      <sheetName val="Strategic Options"/>
      <sheetName val="1993"/>
      <sheetName val="Мульт-ор М2, швидкість"/>
      <sheetName val="Тариф на транзи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 val="Inform"/>
      <sheetName val="МТР Газ України"/>
      <sheetName val="7  інші витрати"/>
      <sheetName val="Dod_ARK"/>
      <sheetName val="Dod_Clavutich"/>
      <sheetName val="Svod_3511060"/>
      <sheetName val="Diti_"/>
      <sheetName val="Ener_"/>
      <sheetName val="IncsiPilgi_(2)"/>
      <sheetName val="Govti_Vodi"/>
      <sheetName val="Chor_Flot"/>
      <sheetName val="Shidka_Dop"/>
      <sheetName val="Zoiot_Pidkova"/>
      <sheetName val="Oper_Teatr"/>
      <sheetName val="Ctix_Lixo_IvFrank"/>
      <sheetName val="Groshi_xodat_za_dit"/>
      <sheetName val="Ctix_Lixo_Zakarp"/>
      <sheetName val="Coc_GKG_Inv"/>
      <sheetName val="Ictor_Zabudova"/>
      <sheetName val="Ict_Zab"/>
      <sheetName val="Ukr_Kultura"/>
      <sheetName val="Mic_Arcenal"/>
      <sheetName val="diti_ciroti_-2(minmolod)"/>
      <sheetName val="Korek_ocvita"/>
      <sheetName val="Tex_Dic_Ocvita"/>
      <sheetName val="Utoc_Zaoshadg"/>
      <sheetName val="Metro_Cpec_Fond"/>
      <sheetName val="Svitov_Bank"/>
      <sheetName val="Shidka_Dop_Cp_Fond"/>
      <sheetName val="Troleib_Cpec_Fond"/>
      <sheetName val="Pereviz_ditey"/>
      <sheetName val="Kom_dorigu"/>
      <sheetName val="Chor_Fiot_Cpec_Fond"/>
      <sheetName val="Nar_instr"/>
      <sheetName val="попер_ро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refreshError="1"/>
      <sheetData sheetId="9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5"/>
  <sheetViews>
    <sheetView topLeftCell="A31" zoomScale="70" zoomScaleNormal="70" workbookViewId="0">
      <pane xSplit="2" ySplit="4" topLeftCell="C143" activePane="bottomRight" state="frozen"/>
      <selection activeCell="A31" sqref="A31"/>
      <selection pane="topRight" activeCell="C31" sqref="C31"/>
      <selection pane="bottomLeft" activeCell="A35" sqref="A35"/>
      <selection pane="bottomRight" activeCell="C130" sqref="C130"/>
    </sheetView>
  </sheetViews>
  <sheetFormatPr defaultRowHeight="18.75"/>
  <cols>
    <col min="1" max="1" width="73.28515625" style="16" customWidth="1"/>
    <col min="2" max="2" width="12.28515625" style="18" customWidth="1"/>
    <col min="3" max="3" width="12.7109375" style="18" customWidth="1"/>
    <col min="4" max="4" width="14.5703125" style="18" customWidth="1"/>
    <col min="5" max="5" width="12.7109375" style="18" customWidth="1"/>
    <col min="6" max="6" width="12.85546875" style="16" customWidth="1"/>
    <col min="7" max="8" width="16.7109375" style="15" customWidth="1"/>
    <col min="9" max="9" width="16.7109375" style="16" customWidth="1"/>
    <col min="10" max="10" width="18.140625" style="16" customWidth="1"/>
    <col min="11" max="11" width="10" style="16" customWidth="1"/>
    <col min="12" max="12" width="9.5703125" style="16" customWidth="1"/>
    <col min="13" max="13" width="13" style="16" customWidth="1"/>
    <col min="14" max="14" width="12.85546875" style="16" customWidth="1"/>
    <col min="15" max="15" width="14" style="16" customWidth="1"/>
    <col min="16" max="16384" width="9.140625" style="16"/>
  </cols>
  <sheetData>
    <row r="1" spans="1:10" ht="18.75" customHeight="1">
      <c r="B1" s="17"/>
      <c r="D1" s="16"/>
      <c r="E1" s="16"/>
      <c r="G1" s="380" t="s">
        <v>216</v>
      </c>
      <c r="H1" s="380"/>
      <c r="I1" s="380"/>
      <c r="J1" s="380"/>
    </row>
    <row r="2" spans="1:10" ht="18.75" customHeight="1">
      <c r="B2" s="17"/>
      <c r="D2" s="16"/>
      <c r="E2" s="16"/>
      <c r="G2" s="381" t="s">
        <v>217</v>
      </c>
      <c r="H2" s="381"/>
      <c r="I2" s="381"/>
      <c r="J2" s="381"/>
    </row>
    <row r="3" spans="1:10" ht="18.75" customHeight="1">
      <c r="A3" s="382"/>
      <c r="B3" s="382"/>
      <c r="D3" s="17"/>
      <c r="E3" s="17"/>
      <c r="F3" s="17"/>
      <c r="G3" s="381"/>
      <c r="H3" s="381"/>
      <c r="I3" s="381"/>
      <c r="J3" s="381"/>
    </row>
    <row r="4" spans="1:10" ht="18.75" customHeight="1">
      <c r="A4" s="18"/>
      <c r="D4" s="17"/>
      <c r="E4" s="17"/>
      <c r="F4" s="17"/>
      <c r="G4" s="381"/>
      <c r="H4" s="381"/>
      <c r="I4" s="381"/>
      <c r="J4" s="381"/>
    </row>
    <row r="5" spans="1:10" ht="46.7" customHeight="1">
      <c r="A5" s="18"/>
      <c r="D5" s="17"/>
      <c r="E5" s="17"/>
      <c r="F5" s="17"/>
      <c r="G5" s="381"/>
      <c r="H5" s="381"/>
      <c r="I5" s="381"/>
      <c r="J5" s="381"/>
    </row>
    <row r="6" spans="1:10" ht="41.25" customHeight="1">
      <c r="F6" s="19"/>
      <c r="G6" s="380" t="s">
        <v>218</v>
      </c>
      <c r="H6" s="380"/>
      <c r="I6" s="380"/>
      <c r="J6" s="380"/>
    </row>
    <row r="7" spans="1:10" ht="18.75" customHeight="1">
      <c r="A7" s="18"/>
      <c r="D7" s="19"/>
      <c r="E7" s="19"/>
      <c r="F7" s="19"/>
      <c r="G7" s="383" t="s">
        <v>219</v>
      </c>
      <c r="H7" s="383"/>
      <c r="I7" s="383"/>
      <c r="J7" s="383"/>
    </row>
    <row r="8" spans="1:10" ht="18.75" customHeight="1">
      <c r="A8" s="384"/>
      <c r="B8" s="384"/>
      <c r="C8" s="20"/>
      <c r="D8" s="20"/>
      <c r="E8" s="20"/>
      <c r="F8" s="21"/>
      <c r="G8" s="89" t="s">
        <v>220</v>
      </c>
      <c r="H8" s="101"/>
      <c r="I8" s="22"/>
      <c r="J8" s="22"/>
    </row>
    <row r="9" spans="1:10" ht="20.25" customHeight="1">
      <c r="A9" s="385"/>
      <c r="B9" s="385"/>
      <c r="D9" s="16"/>
      <c r="E9" s="16"/>
      <c r="G9" s="383" t="s">
        <v>221</v>
      </c>
      <c r="H9" s="383"/>
      <c r="I9" s="383"/>
      <c r="J9" s="383"/>
    </row>
    <row r="10" spans="1:10" ht="19.5" customHeight="1">
      <c r="A10" s="385"/>
      <c r="B10" s="385"/>
      <c r="F10" s="17"/>
      <c r="G10" s="89" t="s">
        <v>222</v>
      </c>
      <c r="H10" s="89"/>
      <c r="I10" s="22"/>
      <c r="J10" s="22"/>
    </row>
    <row r="11" spans="1:10" ht="19.5" customHeight="1">
      <c r="A11" s="18"/>
      <c r="F11" s="17"/>
      <c r="G11" s="90"/>
      <c r="H11" s="90"/>
      <c r="I11" s="386" t="s">
        <v>223</v>
      </c>
      <c r="J11" s="386"/>
    </row>
    <row r="12" spans="1:10" ht="19.5" customHeight="1">
      <c r="A12" s="385"/>
      <c r="B12" s="385"/>
      <c r="D12" s="17"/>
      <c r="E12" s="17"/>
      <c r="F12" s="17"/>
      <c r="G12" s="387" t="s">
        <v>224</v>
      </c>
      <c r="H12" s="387"/>
      <c r="I12" s="387"/>
      <c r="J12" s="387"/>
    </row>
    <row r="13" spans="1:10" ht="16.5" customHeight="1">
      <c r="A13" s="385"/>
      <c r="B13" s="385"/>
      <c r="D13" s="17"/>
      <c r="E13" s="17"/>
      <c r="F13" s="17"/>
      <c r="G13" s="6"/>
      <c r="H13" s="6"/>
      <c r="I13" s="19"/>
      <c r="J13" s="19"/>
    </row>
    <row r="14" spans="1:10" ht="16.5" customHeight="1">
      <c r="A14" s="18"/>
      <c r="D14" s="17"/>
      <c r="E14" s="17"/>
      <c r="F14" s="17"/>
      <c r="G14" s="6"/>
      <c r="H14" s="6"/>
      <c r="I14" s="19"/>
      <c r="J14" s="19"/>
    </row>
    <row r="15" spans="1:10" ht="18.75" customHeight="1">
      <c r="A15" s="385"/>
      <c r="B15" s="385"/>
      <c r="D15" s="17"/>
      <c r="E15" s="17"/>
      <c r="F15" s="17"/>
      <c r="G15" s="385"/>
      <c r="H15" s="385"/>
      <c r="I15" s="385"/>
      <c r="J15" s="385"/>
    </row>
    <row r="16" spans="1:10" ht="20.100000000000001" customHeight="1">
      <c r="A16" s="23" t="s">
        <v>2</v>
      </c>
      <c r="B16" s="388">
        <v>2023</v>
      </c>
      <c r="C16" s="388"/>
      <c r="D16" s="388"/>
      <c r="E16" s="388"/>
      <c r="F16" s="388"/>
      <c r="G16" s="5"/>
      <c r="H16" s="1"/>
      <c r="I16" s="26"/>
      <c r="J16" s="27" t="s">
        <v>3</v>
      </c>
    </row>
    <row r="17" spans="1:10" ht="45" customHeight="1">
      <c r="A17" s="28" t="s">
        <v>225</v>
      </c>
      <c r="B17" s="389" t="s">
        <v>226</v>
      </c>
      <c r="C17" s="389"/>
      <c r="D17" s="389"/>
      <c r="E17" s="389"/>
      <c r="F17" s="389"/>
      <c r="G17" s="91"/>
      <c r="H17" s="2"/>
      <c r="I17" s="26" t="s">
        <v>6</v>
      </c>
      <c r="J17" s="27">
        <v>5481010</v>
      </c>
    </row>
    <row r="18" spans="1:10" ht="20.100000000000001" customHeight="1">
      <c r="A18" s="29" t="s">
        <v>8</v>
      </c>
      <c r="B18" s="388" t="s">
        <v>227</v>
      </c>
      <c r="C18" s="388"/>
      <c r="D18" s="388"/>
      <c r="E18" s="388"/>
      <c r="F18" s="388"/>
      <c r="G18" s="5"/>
      <c r="H18" s="1"/>
      <c r="I18" s="26" t="s">
        <v>10</v>
      </c>
      <c r="J18" s="27">
        <v>150</v>
      </c>
    </row>
    <row r="19" spans="1:10" ht="20.100000000000001" customHeight="1">
      <c r="A19" s="29" t="s">
        <v>11</v>
      </c>
      <c r="B19" s="388"/>
      <c r="C19" s="388"/>
      <c r="D19" s="388"/>
      <c r="E19" s="388"/>
      <c r="F19" s="388"/>
      <c r="G19" s="5"/>
      <c r="H19" s="1"/>
      <c r="I19" s="26" t="s">
        <v>12</v>
      </c>
      <c r="J19" s="27">
        <v>5922386401</v>
      </c>
    </row>
    <row r="20" spans="1:10" ht="20.100000000000001" customHeight="1">
      <c r="A20" s="29" t="s">
        <v>13</v>
      </c>
      <c r="B20" s="388" t="s">
        <v>14</v>
      </c>
      <c r="C20" s="388"/>
      <c r="D20" s="388"/>
      <c r="E20" s="388"/>
      <c r="F20" s="388"/>
      <c r="G20" s="4"/>
      <c r="H20" s="3"/>
      <c r="I20" s="26" t="s">
        <v>15</v>
      </c>
      <c r="J20" s="27"/>
    </row>
    <row r="21" spans="1:10" ht="20.100000000000001" customHeight="1">
      <c r="A21" s="29" t="s">
        <v>16</v>
      </c>
      <c r="B21" s="388"/>
      <c r="C21" s="388"/>
      <c r="D21" s="388"/>
      <c r="E21" s="388"/>
      <c r="F21" s="388"/>
      <c r="G21" s="4"/>
      <c r="H21" s="3"/>
      <c r="I21" s="26" t="s">
        <v>17</v>
      </c>
      <c r="J21" s="27"/>
    </row>
    <row r="22" spans="1:10" ht="20.100000000000001" customHeight="1">
      <c r="A22" s="29" t="s">
        <v>18</v>
      </c>
      <c r="B22" s="388"/>
      <c r="C22" s="388"/>
      <c r="D22" s="388"/>
      <c r="E22" s="388"/>
      <c r="F22" s="388"/>
      <c r="G22" s="4"/>
      <c r="H22" s="102"/>
      <c r="I22" s="32" t="s">
        <v>19</v>
      </c>
      <c r="J22" s="27">
        <v>86.23</v>
      </c>
    </row>
    <row r="23" spans="1:10" ht="20.100000000000001" customHeight="1">
      <c r="A23" s="29" t="s">
        <v>20</v>
      </c>
      <c r="B23" s="388"/>
      <c r="C23" s="388"/>
      <c r="D23" s="388"/>
      <c r="E23" s="388"/>
      <c r="F23" s="388"/>
      <c r="G23" s="390" t="s">
        <v>21</v>
      </c>
      <c r="H23" s="390"/>
      <c r="I23" s="390"/>
      <c r="J23" s="33"/>
    </row>
    <row r="24" spans="1:10" ht="20.100000000000001" customHeight="1">
      <c r="A24" s="29" t="s">
        <v>22</v>
      </c>
      <c r="B24" s="388" t="s">
        <v>228</v>
      </c>
      <c r="C24" s="388"/>
      <c r="D24" s="388"/>
      <c r="E24" s="388"/>
      <c r="F24" s="388"/>
      <c r="G24" s="390" t="s">
        <v>24</v>
      </c>
      <c r="H24" s="390"/>
      <c r="I24" s="390"/>
      <c r="J24" s="33"/>
    </row>
    <row r="25" spans="1:10" ht="20.100000000000001" customHeight="1">
      <c r="A25" s="29" t="s">
        <v>25</v>
      </c>
      <c r="B25" s="388">
        <v>156</v>
      </c>
      <c r="C25" s="388"/>
      <c r="D25" s="388"/>
      <c r="E25" s="388"/>
      <c r="F25" s="388"/>
      <c r="G25" s="4"/>
      <c r="H25" s="4"/>
      <c r="I25" s="30"/>
      <c r="J25" s="31"/>
    </row>
    <row r="26" spans="1:10" ht="20.100000000000001" customHeight="1">
      <c r="A26" s="29" t="s">
        <v>26</v>
      </c>
      <c r="B26" s="388" t="s">
        <v>229</v>
      </c>
      <c r="C26" s="388"/>
      <c r="D26" s="388"/>
      <c r="E26" s="388"/>
      <c r="F26" s="388"/>
      <c r="G26" s="5"/>
      <c r="H26" s="5"/>
      <c r="I26" s="24"/>
      <c r="J26" s="25"/>
    </row>
    <row r="27" spans="1:10" ht="20.100000000000001" customHeight="1">
      <c r="A27" s="29" t="s">
        <v>28</v>
      </c>
      <c r="B27" s="388" t="s">
        <v>29</v>
      </c>
      <c r="C27" s="388"/>
      <c r="D27" s="388"/>
      <c r="E27" s="388"/>
      <c r="F27" s="388"/>
      <c r="G27" s="4"/>
      <c r="H27" s="4"/>
      <c r="I27" s="30"/>
      <c r="J27" s="31"/>
    </row>
    <row r="28" spans="1:10" ht="20.100000000000001" customHeight="1">
      <c r="A28" s="29" t="s">
        <v>30</v>
      </c>
      <c r="B28" s="388" t="s">
        <v>31</v>
      </c>
      <c r="C28" s="388"/>
      <c r="D28" s="388"/>
      <c r="E28" s="388"/>
      <c r="F28" s="388"/>
      <c r="G28" s="5"/>
      <c r="H28" s="5"/>
      <c r="I28" s="24"/>
      <c r="J28" s="25"/>
    </row>
    <row r="29" spans="1:10">
      <c r="A29" s="392" t="s">
        <v>230</v>
      </c>
      <c r="B29" s="392"/>
      <c r="C29" s="392"/>
      <c r="D29" s="392"/>
      <c r="E29" s="392"/>
      <c r="F29" s="392"/>
      <c r="G29" s="392"/>
      <c r="H29" s="392"/>
      <c r="I29" s="392"/>
      <c r="J29" s="392"/>
    </row>
    <row r="30" spans="1:10" ht="9" customHeight="1">
      <c r="A30" s="34"/>
      <c r="B30" s="34"/>
      <c r="C30" s="34"/>
      <c r="D30" s="34"/>
      <c r="E30" s="34"/>
      <c r="F30" s="34"/>
      <c r="G30" s="92"/>
      <c r="H30" s="92"/>
      <c r="I30" s="34"/>
      <c r="J30" s="34"/>
    </row>
    <row r="31" spans="1:10">
      <c r="A31" s="392" t="s">
        <v>35</v>
      </c>
      <c r="B31" s="392"/>
      <c r="C31" s="392"/>
      <c r="D31" s="392"/>
      <c r="E31" s="392"/>
      <c r="F31" s="392"/>
      <c r="G31" s="392"/>
      <c r="H31" s="392"/>
      <c r="I31" s="392"/>
      <c r="J31" s="392"/>
    </row>
    <row r="32" spans="1:10" ht="12" customHeight="1">
      <c r="B32" s="19"/>
      <c r="D32" s="19"/>
      <c r="E32" s="19"/>
      <c r="F32" s="19"/>
      <c r="G32" s="6"/>
      <c r="H32" s="6"/>
      <c r="I32" s="19"/>
      <c r="J32" s="19"/>
    </row>
    <row r="33" spans="1:17" ht="31.5" customHeight="1">
      <c r="A33" s="393" t="s">
        <v>36</v>
      </c>
      <c r="B33" s="394" t="s">
        <v>37</v>
      </c>
      <c r="C33" s="394" t="s">
        <v>231</v>
      </c>
      <c r="D33" s="394" t="s">
        <v>232</v>
      </c>
      <c r="E33" s="395" t="s">
        <v>233</v>
      </c>
      <c r="F33" s="394" t="s">
        <v>234</v>
      </c>
      <c r="G33" s="394" t="s">
        <v>235</v>
      </c>
      <c r="H33" s="394"/>
      <c r="I33" s="394"/>
      <c r="J33" s="394"/>
    </row>
    <row r="34" spans="1:17" ht="63.75" customHeight="1">
      <c r="A34" s="393"/>
      <c r="B34" s="394"/>
      <c r="C34" s="394"/>
      <c r="D34" s="394"/>
      <c r="E34" s="395"/>
      <c r="F34" s="394"/>
      <c r="G34" s="7" t="s">
        <v>236</v>
      </c>
      <c r="H34" s="7" t="s">
        <v>237</v>
      </c>
      <c r="I34" s="35" t="s">
        <v>238</v>
      </c>
      <c r="J34" s="35" t="s">
        <v>239</v>
      </c>
    </row>
    <row r="35" spans="1:17" ht="20.100000000000001" customHeight="1">
      <c r="A35" s="27">
        <v>1</v>
      </c>
      <c r="B35" s="35">
        <v>2</v>
      </c>
      <c r="C35" s="35">
        <v>3</v>
      </c>
      <c r="D35" s="35">
        <v>4</v>
      </c>
      <c r="E35" s="35">
        <v>5</v>
      </c>
      <c r="F35" s="35">
        <v>6</v>
      </c>
      <c r="G35" s="7">
        <v>7</v>
      </c>
      <c r="H35" s="7">
        <v>8</v>
      </c>
      <c r="I35" s="35">
        <v>9</v>
      </c>
      <c r="J35" s="35">
        <v>10</v>
      </c>
    </row>
    <row r="36" spans="1:17" ht="24.95" customHeight="1">
      <c r="A36" s="398" t="s">
        <v>45</v>
      </c>
      <c r="B36" s="398"/>
      <c r="C36" s="398"/>
      <c r="D36" s="398"/>
      <c r="E36" s="398"/>
      <c r="F36" s="398"/>
      <c r="G36" s="398"/>
      <c r="H36" s="398"/>
      <c r="I36" s="398"/>
      <c r="J36" s="398"/>
    </row>
    <row r="37" spans="1:17" ht="20.100000000000001" customHeight="1">
      <c r="A37" s="36" t="s">
        <v>46</v>
      </c>
      <c r="B37" s="27">
        <v>1000</v>
      </c>
      <c r="C37" s="37"/>
      <c r="D37" s="38">
        <f>D38+D41</f>
        <v>26582</v>
      </c>
      <c r="E37" s="38">
        <f>E38+E41</f>
        <v>26582</v>
      </c>
      <c r="F37" s="39">
        <f>SUM(G37:J37)</f>
        <v>31655.168477352003</v>
      </c>
      <c r="G37" s="39">
        <f>G38+G41+G45+G42</f>
        <v>7799.129780799999</v>
      </c>
      <c r="H37" s="39">
        <f>H38+H41+H45+H42</f>
        <v>7800.1486372400004</v>
      </c>
      <c r="I37" s="39">
        <f>I38+I41+I45+I42</f>
        <v>7841.9948052</v>
      </c>
      <c r="J37" s="39">
        <f>J38+J41+J45+J42</f>
        <v>8213.8952541119997</v>
      </c>
      <c r="L37" s="215"/>
      <c r="M37" s="215"/>
      <c r="N37" s="215"/>
      <c r="O37" s="215"/>
      <c r="P37" s="215"/>
      <c r="Q37" s="215"/>
    </row>
    <row r="38" spans="1:17" ht="20.100000000000001" customHeight="1">
      <c r="A38" s="36" t="s">
        <v>47</v>
      </c>
      <c r="B38" s="27">
        <v>1010</v>
      </c>
      <c r="C38" s="37">
        <f>C39+C40</f>
        <v>0</v>
      </c>
      <c r="D38" s="40">
        <f>D39+D40</f>
        <v>25172</v>
      </c>
      <c r="E38" s="40">
        <f>E39+E40</f>
        <v>25172</v>
      </c>
      <c r="F38" s="37">
        <f>F39+F40</f>
        <v>23275.923158403915</v>
      </c>
      <c r="G38" s="12">
        <v>5652.7381033126285</v>
      </c>
      <c r="H38" s="12">
        <v>5767.2742249011862</v>
      </c>
      <c r="I38" s="37">
        <v>5911.3881249576507</v>
      </c>
      <c r="J38" s="37">
        <v>5944.5227052324481</v>
      </c>
      <c r="L38" s="215"/>
      <c r="M38" s="215"/>
      <c r="N38" s="215"/>
      <c r="O38" s="215"/>
      <c r="P38" s="215"/>
      <c r="Q38" s="215"/>
    </row>
    <row r="39" spans="1:17" ht="20.100000000000001" customHeight="1">
      <c r="A39" s="41" t="s">
        <v>48</v>
      </c>
      <c r="B39" s="27">
        <v>1011</v>
      </c>
      <c r="C39" s="209"/>
      <c r="D39" s="38"/>
      <c r="E39" s="38"/>
      <c r="F39" s="39"/>
      <c r="G39" s="10"/>
      <c r="H39" s="10"/>
      <c r="I39" s="39"/>
      <c r="J39" s="39"/>
      <c r="L39" s="215"/>
      <c r="M39" s="215"/>
      <c r="N39" s="215"/>
      <c r="O39" s="215"/>
      <c r="P39" s="215"/>
      <c r="Q39" s="215"/>
    </row>
    <row r="40" spans="1:17" ht="40.5" customHeight="1">
      <c r="A40" s="41" t="s">
        <v>49</v>
      </c>
      <c r="B40" s="27">
        <v>1012</v>
      </c>
      <c r="C40" s="209"/>
      <c r="D40" s="40">
        <v>25172</v>
      </c>
      <c r="E40" s="40">
        <v>25172</v>
      </c>
      <c r="F40" s="37">
        <f>SUM(G40:J40)</f>
        <v>23275.923158403915</v>
      </c>
      <c r="G40" s="12">
        <v>5652.7381033126285</v>
      </c>
      <c r="H40" s="12">
        <v>5767.2742249011862</v>
      </c>
      <c r="I40" s="37">
        <v>5911.3881249576507</v>
      </c>
      <c r="J40" s="37">
        <v>5944.5227052324481</v>
      </c>
      <c r="L40" s="215"/>
      <c r="M40" s="215"/>
      <c r="N40" s="215"/>
      <c r="O40" s="215"/>
      <c r="P40" s="215"/>
      <c r="Q40" s="215"/>
    </row>
    <row r="41" spans="1:17" ht="20.100000000000001" customHeight="1">
      <c r="A41" s="36" t="s">
        <v>50</v>
      </c>
      <c r="B41" s="27">
        <v>1020</v>
      </c>
      <c r="C41" s="37"/>
      <c r="D41" s="40">
        <v>1410</v>
      </c>
      <c r="E41" s="40">
        <v>1410</v>
      </c>
      <c r="F41" s="37">
        <f>SUM(G41:J41)</f>
        <v>3600</v>
      </c>
      <c r="G41" s="12">
        <v>900</v>
      </c>
      <c r="H41" s="12">
        <v>900</v>
      </c>
      <c r="I41" s="37">
        <v>900</v>
      </c>
      <c r="J41" s="37">
        <v>900</v>
      </c>
      <c r="L41" s="215"/>
      <c r="M41" s="215"/>
      <c r="N41" s="215"/>
      <c r="O41" s="215"/>
      <c r="P41" s="215"/>
      <c r="Q41" s="215"/>
    </row>
    <row r="42" spans="1:17" ht="20.100000000000001" customHeight="1">
      <c r="A42" s="36" t="s">
        <v>51</v>
      </c>
      <c r="B42" s="27">
        <v>1030</v>
      </c>
      <c r="C42" s="37">
        <f t="shared" ref="C42:J42" si="0">C43+C44</f>
        <v>0</v>
      </c>
      <c r="D42" s="37">
        <f t="shared" si="0"/>
        <v>0</v>
      </c>
      <c r="E42" s="37">
        <f t="shared" si="0"/>
        <v>0</v>
      </c>
      <c r="F42" s="37">
        <f t="shared" si="0"/>
        <v>4779.2453189480857</v>
      </c>
      <c r="G42" s="12">
        <f t="shared" si="0"/>
        <v>1246.3916774873705</v>
      </c>
      <c r="H42" s="12">
        <f t="shared" si="0"/>
        <v>1132.8744123388142</v>
      </c>
      <c r="I42" s="37">
        <f t="shared" si="0"/>
        <v>1030.6066802423491</v>
      </c>
      <c r="J42" s="37">
        <f t="shared" si="0"/>
        <v>1369.3725488795512</v>
      </c>
      <c r="L42" s="215"/>
      <c r="M42" s="215"/>
      <c r="N42" s="215"/>
      <c r="O42" s="215"/>
      <c r="P42" s="215"/>
      <c r="Q42" s="215"/>
    </row>
    <row r="43" spans="1:17" ht="20.100000000000001" customHeight="1">
      <c r="A43" s="42" t="s">
        <v>262</v>
      </c>
      <c r="B43" s="27">
        <v>1031</v>
      </c>
      <c r="C43" s="37"/>
      <c r="D43" s="37"/>
      <c r="E43" s="37"/>
      <c r="F43" s="37">
        <f>SUM(G43:J43)</f>
        <v>2011.2453189480852</v>
      </c>
      <c r="G43" s="12">
        <v>554.39167748737066</v>
      </c>
      <c r="H43" s="12">
        <v>440.8744123388143</v>
      </c>
      <c r="I43" s="37">
        <v>338.606680242349</v>
      </c>
      <c r="J43" s="37">
        <v>677.37254887955123</v>
      </c>
      <c r="L43" s="215"/>
      <c r="M43" s="215"/>
      <c r="N43" s="215"/>
      <c r="O43" s="215"/>
      <c r="P43" s="215"/>
      <c r="Q43" s="215"/>
    </row>
    <row r="44" spans="1:17" ht="20.100000000000001" customHeight="1">
      <c r="A44" s="42" t="s">
        <v>263</v>
      </c>
      <c r="B44" s="27">
        <v>1032</v>
      </c>
      <c r="C44" s="37"/>
      <c r="D44" s="37"/>
      <c r="E44" s="37"/>
      <c r="F44" s="37">
        <f>SUM(G44:J44)</f>
        <v>2768</v>
      </c>
      <c r="G44" s="12">
        <v>692</v>
      </c>
      <c r="H44" s="12">
        <v>692</v>
      </c>
      <c r="I44" s="37">
        <v>692</v>
      </c>
      <c r="J44" s="37">
        <v>692</v>
      </c>
      <c r="L44" s="215"/>
      <c r="M44" s="215"/>
      <c r="N44" s="215"/>
      <c r="O44" s="215"/>
      <c r="P44" s="215"/>
      <c r="Q44" s="215"/>
    </row>
    <row r="45" spans="1:17" ht="20.100000000000001" customHeight="1">
      <c r="A45" s="36" t="s">
        <v>53</v>
      </c>
      <c r="B45" s="27">
        <v>1040</v>
      </c>
      <c r="C45" s="37">
        <f t="shared" ref="C45:J45" si="1">C46+C48+C50+C47+C49</f>
        <v>0</v>
      </c>
      <c r="D45" s="37">
        <f t="shared" si="1"/>
        <v>0</v>
      </c>
      <c r="E45" s="37">
        <f t="shared" si="1"/>
        <v>0</v>
      </c>
      <c r="F45" s="37">
        <f t="shared" si="1"/>
        <v>0</v>
      </c>
      <c r="G45" s="12">
        <f t="shared" si="1"/>
        <v>0</v>
      </c>
      <c r="H45" s="12">
        <f t="shared" si="1"/>
        <v>0</v>
      </c>
      <c r="I45" s="37">
        <f t="shared" si="1"/>
        <v>0</v>
      </c>
      <c r="J45" s="37">
        <f t="shared" si="1"/>
        <v>0</v>
      </c>
      <c r="L45" s="215"/>
      <c r="M45" s="215"/>
      <c r="N45" s="215"/>
      <c r="O45" s="215"/>
      <c r="P45" s="215"/>
      <c r="Q45" s="215"/>
    </row>
    <row r="46" spans="1:17" ht="20.100000000000001" customHeight="1">
      <c r="A46" s="41" t="s">
        <v>54</v>
      </c>
      <c r="B46" s="27">
        <v>1041</v>
      </c>
      <c r="C46" s="37"/>
      <c r="D46" s="37"/>
      <c r="E46" s="37"/>
      <c r="F46" s="37"/>
      <c r="G46" s="12"/>
      <c r="H46" s="12"/>
      <c r="I46" s="37"/>
      <c r="J46" s="37"/>
      <c r="L46" s="215"/>
      <c r="M46" s="215"/>
      <c r="N46" s="215"/>
      <c r="O46" s="215"/>
      <c r="P46" s="215"/>
      <c r="Q46" s="215"/>
    </row>
    <row r="47" spans="1:17" ht="20.100000000000001" customHeight="1">
      <c r="A47" s="41" t="s">
        <v>55</v>
      </c>
      <c r="B47" s="27">
        <v>1042</v>
      </c>
      <c r="C47" s="37"/>
      <c r="D47" s="37"/>
      <c r="E47" s="37"/>
      <c r="F47" s="37"/>
      <c r="G47" s="12"/>
      <c r="H47" s="12"/>
      <c r="I47" s="37"/>
      <c r="J47" s="37"/>
      <c r="L47" s="215"/>
      <c r="M47" s="215"/>
      <c r="N47" s="215"/>
      <c r="O47" s="215"/>
      <c r="P47" s="215"/>
      <c r="Q47" s="215"/>
    </row>
    <row r="48" spans="1:17" ht="20.100000000000001" customHeight="1">
      <c r="A48" s="33" t="s">
        <v>56</v>
      </c>
      <c r="B48" s="27">
        <v>1043</v>
      </c>
      <c r="C48" s="39"/>
      <c r="D48" s="39"/>
      <c r="E48" s="39"/>
      <c r="F48" s="39"/>
      <c r="G48" s="10"/>
      <c r="H48" s="10"/>
      <c r="I48" s="39"/>
      <c r="J48" s="39"/>
      <c r="L48" s="215"/>
      <c r="M48" s="215"/>
      <c r="N48" s="215"/>
      <c r="O48" s="215"/>
      <c r="P48" s="215"/>
      <c r="Q48" s="215"/>
    </row>
    <row r="49" spans="1:17" ht="20.100000000000001" customHeight="1">
      <c r="A49" s="33" t="s">
        <v>57</v>
      </c>
      <c r="B49" s="27">
        <v>1044</v>
      </c>
      <c r="C49" s="209"/>
      <c r="D49" s="209"/>
      <c r="E49" s="209"/>
      <c r="F49" s="209"/>
      <c r="G49" s="39"/>
      <c r="H49" s="39"/>
      <c r="I49" s="39"/>
      <c r="J49" s="39"/>
      <c r="L49" s="215"/>
      <c r="M49" s="215"/>
      <c r="N49" s="215"/>
      <c r="O49" s="215"/>
      <c r="P49" s="215"/>
      <c r="Q49" s="215"/>
    </row>
    <row r="50" spans="1:17" ht="20.100000000000001" customHeight="1">
      <c r="A50" s="43" t="s">
        <v>58</v>
      </c>
      <c r="B50" s="27">
        <v>1045</v>
      </c>
      <c r="C50" s="209">
        <f>C51</f>
        <v>0</v>
      </c>
      <c r="D50" s="209"/>
      <c r="E50" s="209"/>
      <c r="F50" s="209">
        <f>F51</f>
        <v>0</v>
      </c>
      <c r="G50" s="209">
        <f>G51</f>
        <v>0</v>
      </c>
      <c r="H50" s="209">
        <f>H51</f>
        <v>0</v>
      </c>
      <c r="I50" s="209">
        <f>I51</f>
        <v>0</v>
      </c>
      <c r="J50" s="209">
        <f>J51</f>
        <v>0</v>
      </c>
      <c r="L50" s="215"/>
      <c r="M50" s="215"/>
      <c r="N50" s="215"/>
      <c r="O50" s="215"/>
      <c r="P50" s="215"/>
      <c r="Q50" s="215"/>
    </row>
    <row r="51" spans="1:17" ht="20.100000000000001" customHeight="1">
      <c r="A51" s="43"/>
      <c r="B51" s="27" t="s">
        <v>60</v>
      </c>
      <c r="C51" s="209"/>
      <c r="D51" s="209"/>
      <c r="E51" s="209"/>
      <c r="F51" s="209">
        <f>SUM(G51:J51)</f>
        <v>0</v>
      </c>
      <c r="G51" s="37"/>
      <c r="H51" s="37"/>
      <c r="I51" s="37"/>
      <c r="J51" s="37"/>
      <c r="L51" s="215"/>
      <c r="M51" s="215"/>
      <c r="N51" s="215"/>
      <c r="O51" s="215"/>
      <c r="P51" s="215"/>
      <c r="Q51" s="215"/>
    </row>
    <row r="52" spans="1:17" ht="20.100000000000001" customHeight="1">
      <c r="A52" s="43"/>
      <c r="B52" s="27" t="s">
        <v>61</v>
      </c>
      <c r="C52" s="39"/>
      <c r="D52" s="39"/>
      <c r="E52" s="39"/>
      <c r="F52" s="39"/>
      <c r="G52" s="12"/>
      <c r="H52" s="12"/>
      <c r="I52" s="37"/>
      <c r="J52" s="37"/>
      <c r="L52" s="215"/>
      <c r="M52" s="215"/>
      <c r="N52" s="215"/>
      <c r="O52" s="215"/>
      <c r="P52" s="215"/>
      <c r="Q52" s="215"/>
    </row>
    <row r="53" spans="1:17" ht="20.100000000000001" customHeight="1">
      <c r="A53" s="44" t="s">
        <v>62</v>
      </c>
      <c r="B53" s="27">
        <v>2000</v>
      </c>
      <c r="C53" s="39">
        <f t="shared" ref="C53:I53" si="2">C54+C79</f>
        <v>0</v>
      </c>
      <c r="D53" s="39">
        <f t="shared" si="2"/>
        <v>0</v>
      </c>
      <c r="E53" s="39">
        <f t="shared" si="2"/>
        <v>0</v>
      </c>
      <c r="F53" s="39">
        <f t="shared" si="2"/>
        <v>31655.168477352003</v>
      </c>
      <c r="G53" s="39">
        <f t="shared" si="2"/>
        <v>7799.129780799999</v>
      </c>
      <c r="H53" s="39">
        <f t="shared" si="2"/>
        <v>7800.1486372400004</v>
      </c>
      <c r="I53" s="39">
        <f t="shared" si="2"/>
        <v>7841.9948052</v>
      </c>
      <c r="J53" s="39">
        <f>J54+J79</f>
        <v>8213.8952541119997</v>
      </c>
      <c r="L53" s="215"/>
      <c r="M53" s="215"/>
      <c r="N53" s="215"/>
      <c r="O53" s="215"/>
      <c r="P53" s="215"/>
      <c r="Q53" s="215"/>
    </row>
    <row r="54" spans="1:17" ht="20.100000000000001" customHeight="1">
      <c r="A54" s="45" t="s">
        <v>63</v>
      </c>
      <c r="B54" s="18">
        <v>2010</v>
      </c>
      <c r="C54" s="37">
        <f t="shared" ref="C54:J54" si="3">C55+C56+C57+C71+C72+C73+C78+C77</f>
        <v>0</v>
      </c>
      <c r="D54" s="38">
        <f t="shared" si="3"/>
        <v>0</v>
      </c>
      <c r="E54" s="38">
        <f t="shared" si="3"/>
        <v>0</v>
      </c>
      <c r="F54" s="38">
        <f t="shared" si="3"/>
        <v>31073.918477352003</v>
      </c>
      <c r="G54" s="38">
        <f t="shared" si="3"/>
        <v>7799.129780799999</v>
      </c>
      <c r="H54" s="38">
        <f t="shared" si="3"/>
        <v>7683.8986372400004</v>
      </c>
      <c r="I54" s="38">
        <f t="shared" si="3"/>
        <v>7609.4948052</v>
      </c>
      <c r="J54" s="38">
        <f t="shared" si="3"/>
        <v>7981.3952541119997</v>
      </c>
      <c r="L54" s="215"/>
      <c r="M54" s="215"/>
      <c r="N54" s="215"/>
      <c r="O54" s="215"/>
      <c r="P54" s="215"/>
      <c r="Q54" s="215"/>
    </row>
    <row r="55" spans="1:17" ht="20.100000000000001" customHeight="1">
      <c r="A55" s="46" t="s">
        <v>64</v>
      </c>
      <c r="B55" s="27">
        <v>2010</v>
      </c>
      <c r="C55" s="37"/>
      <c r="D55" s="40"/>
      <c r="E55" s="40"/>
      <c r="F55" s="40">
        <f>SUM(G55:J55)</f>
        <v>20475.059999999998</v>
      </c>
      <c r="G55" s="94">
        <v>5118.7649999999994</v>
      </c>
      <c r="H55" s="94">
        <v>5118.7649999999994</v>
      </c>
      <c r="I55" s="40">
        <v>5118.7649999999994</v>
      </c>
      <c r="J55" s="40">
        <v>5118.7649999999994</v>
      </c>
      <c r="K55" s="215">
        <f>F55-G55-H55-I55-J55</f>
        <v>0</v>
      </c>
      <c r="L55" s="215"/>
      <c r="M55" s="215"/>
      <c r="N55" s="215"/>
      <c r="O55" s="215"/>
      <c r="P55" s="215"/>
      <c r="Q55" s="215"/>
    </row>
    <row r="56" spans="1:17" ht="20.100000000000001" customHeight="1">
      <c r="A56" s="46" t="s">
        <v>65</v>
      </c>
      <c r="B56" s="27">
        <v>2011</v>
      </c>
      <c r="C56" s="37"/>
      <c r="D56" s="40"/>
      <c r="E56" s="40"/>
      <c r="F56" s="40">
        <f>SUM(G56:J56)</f>
        <v>4504.5131999999994</v>
      </c>
      <c r="G56" s="94">
        <v>1126.1282999999994</v>
      </c>
      <c r="H56" s="94">
        <v>1126.1282999999999</v>
      </c>
      <c r="I56" s="40">
        <v>1126.1282999999999</v>
      </c>
      <c r="J56" s="40">
        <v>1126.1282999999999</v>
      </c>
      <c r="K56" s="215">
        <f t="shared" ref="K56:K74" si="4">F56-G56-H56-I56-J56</f>
        <v>0</v>
      </c>
      <c r="L56" s="215"/>
      <c r="M56" s="215"/>
      <c r="N56" s="215"/>
      <c r="O56" s="215"/>
      <c r="P56" s="215"/>
      <c r="Q56" s="215"/>
    </row>
    <row r="57" spans="1:17" ht="20.100000000000001" customHeight="1">
      <c r="A57" s="47" t="s">
        <v>66</v>
      </c>
      <c r="B57" s="27">
        <v>2020</v>
      </c>
      <c r="C57" s="37">
        <f t="shared" ref="C57:J57" si="5">C58+C59+C60+C61+C62+C63+C64</f>
        <v>0</v>
      </c>
      <c r="D57" s="38">
        <f t="shared" si="5"/>
        <v>0</v>
      </c>
      <c r="E57" s="38">
        <f t="shared" si="5"/>
        <v>0</v>
      </c>
      <c r="F57" s="38">
        <f t="shared" si="5"/>
        <v>5647.9452773520006</v>
      </c>
      <c r="G57" s="93">
        <f>G58+G59+G60+G61+G62+G63+G64</f>
        <v>1442.6364808000001</v>
      </c>
      <c r="H57" s="93">
        <f t="shared" si="5"/>
        <v>1327.4053372400001</v>
      </c>
      <c r="I57" s="38">
        <f t="shared" si="5"/>
        <v>1253.0015052000001</v>
      </c>
      <c r="J57" s="38">
        <f t="shared" si="5"/>
        <v>1624.9019541120001</v>
      </c>
      <c r="K57" s="215">
        <f t="shared" si="4"/>
        <v>0</v>
      </c>
      <c r="L57" s="215"/>
      <c r="M57" s="215"/>
      <c r="N57" s="215"/>
      <c r="O57" s="215"/>
      <c r="P57" s="215"/>
      <c r="Q57" s="215"/>
    </row>
    <row r="58" spans="1:17" ht="20.100000000000001" customHeight="1">
      <c r="A58" s="46" t="s">
        <v>67</v>
      </c>
      <c r="B58" s="27">
        <v>2021</v>
      </c>
      <c r="C58" s="37"/>
      <c r="D58" s="37"/>
      <c r="E58" s="37"/>
      <c r="F58" s="37">
        <f t="shared" ref="F58:F63" si="6">SUM(G58:J58)</f>
        <v>400</v>
      </c>
      <c r="G58" s="37">
        <v>100</v>
      </c>
      <c r="H58" s="37">
        <v>100</v>
      </c>
      <c r="I58" s="37">
        <v>100</v>
      </c>
      <c r="J58" s="37">
        <v>100</v>
      </c>
      <c r="K58" s="215">
        <f t="shared" si="4"/>
        <v>0</v>
      </c>
      <c r="L58" s="215"/>
      <c r="M58" s="215"/>
      <c r="N58" s="215"/>
      <c r="O58" s="215"/>
      <c r="P58" s="215"/>
      <c r="Q58" s="215"/>
    </row>
    <row r="59" spans="1:17" ht="20.100000000000001" customHeight="1">
      <c r="A59" s="46" t="s">
        <v>68</v>
      </c>
      <c r="B59" s="27">
        <v>2022</v>
      </c>
      <c r="C59" s="37"/>
      <c r="D59" s="37"/>
      <c r="E59" s="37"/>
      <c r="F59" s="37">
        <f t="shared" si="6"/>
        <v>3000</v>
      </c>
      <c r="G59" s="37">
        <v>750</v>
      </c>
      <c r="H59" s="37">
        <v>750</v>
      </c>
      <c r="I59" s="37">
        <v>750</v>
      </c>
      <c r="J59" s="37">
        <v>750</v>
      </c>
      <c r="K59" s="215">
        <f t="shared" si="4"/>
        <v>0</v>
      </c>
      <c r="L59" s="215"/>
      <c r="M59" s="215"/>
      <c r="N59" s="215"/>
      <c r="O59" s="215"/>
      <c r="P59" s="215"/>
      <c r="Q59" s="215"/>
    </row>
    <row r="60" spans="1:17" ht="20.100000000000001" customHeight="1">
      <c r="A60" s="46" t="s">
        <v>69</v>
      </c>
      <c r="B60" s="27">
        <v>2023</v>
      </c>
      <c r="C60" s="37"/>
      <c r="D60" s="37"/>
      <c r="E60" s="37"/>
      <c r="F60" s="37">
        <f t="shared" si="6"/>
        <v>0</v>
      </c>
      <c r="G60" s="37"/>
      <c r="H60" s="37"/>
      <c r="I60" s="37"/>
      <c r="J60" s="37"/>
      <c r="K60" s="215">
        <f t="shared" si="4"/>
        <v>0</v>
      </c>
      <c r="L60" s="215"/>
      <c r="M60" s="215"/>
      <c r="N60" s="215"/>
      <c r="O60" s="215"/>
      <c r="P60" s="215"/>
      <c r="Q60" s="215"/>
    </row>
    <row r="61" spans="1:17" ht="20.100000000000001" customHeight="1">
      <c r="A61" s="46" t="s">
        <v>70</v>
      </c>
      <c r="B61" s="27">
        <v>2024</v>
      </c>
      <c r="C61" s="37"/>
      <c r="D61" s="37"/>
      <c r="E61" s="37"/>
      <c r="F61" s="37">
        <f t="shared" si="6"/>
        <v>525</v>
      </c>
      <c r="G61" s="37">
        <v>110</v>
      </c>
      <c r="H61" s="37">
        <v>110</v>
      </c>
      <c r="I61" s="37">
        <v>135</v>
      </c>
      <c r="J61" s="37">
        <v>170</v>
      </c>
      <c r="K61" s="215">
        <f t="shared" si="4"/>
        <v>0</v>
      </c>
      <c r="L61" s="215"/>
      <c r="M61" s="215"/>
      <c r="N61" s="215"/>
      <c r="O61" s="215"/>
      <c r="P61" s="215"/>
      <c r="Q61" s="215"/>
    </row>
    <row r="62" spans="1:17" ht="20.100000000000001" customHeight="1">
      <c r="A62" s="46" t="s">
        <v>71</v>
      </c>
      <c r="B62" s="27">
        <v>2025</v>
      </c>
      <c r="C62" s="37"/>
      <c r="D62" s="37"/>
      <c r="E62" s="37"/>
      <c r="F62" s="37">
        <f t="shared" si="6"/>
        <v>0</v>
      </c>
      <c r="G62" s="37"/>
      <c r="H62" s="37"/>
      <c r="I62" s="37"/>
      <c r="J62" s="37"/>
      <c r="K62" s="215">
        <f t="shared" si="4"/>
        <v>0</v>
      </c>
      <c r="L62" s="215"/>
      <c r="M62" s="215"/>
      <c r="N62" s="215"/>
      <c r="O62" s="215"/>
      <c r="P62" s="215"/>
      <c r="Q62" s="215"/>
    </row>
    <row r="63" spans="1:17" ht="20.100000000000001" customHeight="1">
      <c r="A63" s="46" t="s">
        <v>72</v>
      </c>
      <c r="B63" s="27">
        <v>2026</v>
      </c>
      <c r="C63" s="37"/>
      <c r="D63" s="37"/>
      <c r="E63" s="37"/>
      <c r="F63" s="37">
        <f t="shared" si="6"/>
        <v>0</v>
      </c>
      <c r="G63" s="37"/>
      <c r="H63" s="37"/>
      <c r="I63" s="37"/>
      <c r="J63" s="37"/>
      <c r="K63" s="215">
        <f t="shared" si="4"/>
        <v>0</v>
      </c>
      <c r="L63" s="215"/>
      <c r="M63" s="215"/>
      <c r="N63" s="215"/>
      <c r="O63" s="215"/>
      <c r="P63" s="215"/>
      <c r="Q63" s="215"/>
    </row>
    <row r="64" spans="1:17" ht="20.100000000000001" customHeight="1">
      <c r="A64" s="46" t="s">
        <v>73</v>
      </c>
      <c r="B64" s="27">
        <v>2027</v>
      </c>
      <c r="C64" s="37">
        <f t="shared" ref="C64:J64" si="7">C65+C66+C67+C68+C69+C70</f>
        <v>0</v>
      </c>
      <c r="D64" s="38">
        <f t="shared" si="7"/>
        <v>0</v>
      </c>
      <c r="E64" s="38">
        <f t="shared" si="7"/>
        <v>0</v>
      </c>
      <c r="F64" s="38">
        <f t="shared" si="7"/>
        <v>1722.9452773520004</v>
      </c>
      <c r="G64" s="93">
        <f>G65+G66+G67+G68+G69+G70</f>
        <v>482.63648080000002</v>
      </c>
      <c r="H64" s="93">
        <f t="shared" si="7"/>
        <v>367.40533724000005</v>
      </c>
      <c r="I64" s="38">
        <f t="shared" si="7"/>
        <v>268.00150520000005</v>
      </c>
      <c r="J64" s="38">
        <f t="shared" si="7"/>
        <v>604.901954112</v>
      </c>
      <c r="K64" s="215">
        <f t="shared" si="4"/>
        <v>0</v>
      </c>
      <c r="L64" s="215"/>
      <c r="M64" s="215"/>
      <c r="N64" s="215"/>
      <c r="O64" s="215"/>
      <c r="P64" s="215"/>
      <c r="Q64" s="215"/>
    </row>
    <row r="65" spans="1:17" ht="20.100000000000001" customHeight="1">
      <c r="A65" s="46" t="s">
        <v>74</v>
      </c>
      <c r="B65" s="27">
        <v>2028</v>
      </c>
      <c r="C65" s="37"/>
      <c r="D65" s="37"/>
      <c r="E65" s="37"/>
      <c r="F65" s="37">
        <f>SUM(G65:J65)</f>
        <v>834.65881644000001</v>
      </c>
      <c r="G65" s="37">
        <v>265.16145599999999</v>
      </c>
      <c r="H65" s="37">
        <v>174.91186044</v>
      </c>
      <c r="I65" s="37">
        <v>0</v>
      </c>
      <c r="J65" s="37">
        <v>394.58550000000002</v>
      </c>
      <c r="K65" s="215">
        <f t="shared" si="4"/>
        <v>0</v>
      </c>
      <c r="L65" s="215"/>
      <c r="M65" s="215"/>
      <c r="N65" s="215"/>
      <c r="O65" s="215"/>
      <c r="P65" s="215"/>
      <c r="Q65" s="215"/>
    </row>
    <row r="66" spans="1:17" ht="20.100000000000001" customHeight="1">
      <c r="A66" s="46" t="s">
        <v>75</v>
      </c>
      <c r="B66" s="27">
        <v>2029</v>
      </c>
      <c r="C66" s="37"/>
      <c r="D66" s="37"/>
      <c r="E66" s="37"/>
      <c r="F66" s="37">
        <f>SUM(G66:J66)</f>
        <v>67.18583491199999</v>
      </c>
      <c r="G66" s="37">
        <v>16.351372799999996</v>
      </c>
      <c r="H66" s="37">
        <v>15.751324799999999</v>
      </c>
      <c r="I66" s="37">
        <v>18.141451199999995</v>
      </c>
      <c r="J66" s="37">
        <v>16.941686111999999</v>
      </c>
      <c r="K66" s="215">
        <f t="shared" si="4"/>
        <v>0</v>
      </c>
      <c r="L66" s="215"/>
      <c r="M66" s="215"/>
      <c r="N66" s="215"/>
      <c r="O66" s="215"/>
      <c r="P66" s="215"/>
      <c r="Q66" s="215"/>
    </row>
    <row r="67" spans="1:17" ht="20.100000000000001" customHeight="1">
      <c r="A67" s="46" t="s">
        <v>76</v>
      </c>
      <c r="B67" s="27">
        <v>2030</v>
      </c>
      <c r="C67" s="37"/>
      <c r="D67" s="37"/>
      <c r="E67" s="37"/>
      <c r="F67" s="37">
        <f>SUM(G67:J67)</f>
        <v>804.68702600000017</v>
      </c>
      <c r="G67" s="37">
        <v>197.02025200000003</v>
      </c>
      <c r="H67" s="37">
        <v>172.63875200000004</v>
      </c>
      <c r="I67" s="37">
        <v>245.75665400000003</v>
      </c>
      <c r="J67" s="37">
        <v>189.27136800000002</v>
      </c>
      <c r="K67" s="215">
        <f t="shared" si="4"/>
        <v>0</v>
      </c>
      <c r="L67" s="215"/>
      <c r="M67" s="215"/>
      <c r="N67" s="215"/>
      <c r="O67" s="215"/>
      <c r="P67" s="215"/>
      <c r="Q67" s="215"/>
    </row>
    <row r="68" spans="1:17" ht="20.100000000000001" customHeight="1">
      <c r="A68" s="46" t="s">
        <v>77</v>
      </c>
      <c r="B68" s="27">
        <v>2031</v>
      </c>
      <c r="C68" s="37"/>
      <c r="D68" s="37"/>
      <c r="E68" s="37"/>
      <c r="F68" s="37">
        <f>SUM(G68:J68)</f>
        <v>0</v>
      </c>
      <c r="G68" s="37"/>
      <c r="H68" s="37"/>
      <c r="I68" s="37"/>
      <c r="J68" s="37"/>
      <c r="K68" s="215">
        <f t="shared" si="4"/>
        <v>0</v>
      </c>
      <c r="L68" s="215"/>
      <c r="M68" s="215"/>
      <c r="N68" s="215"/>
      <c r="O68" s="215"/>
      <c r="P68" s="215"/>
      <c r="Q68" s="215"/>
    </row>
    <row r="69" spans="1:17" ht="20.100000000000001" customHeight="1">
      <c r="A69" s="46" t="s">
        <v>78</v>
      </c>
      <c r="B69" s="27">
        <v>2032</v>
      </c>
      <c r="C69" s="37"/>
      <c r="D69" s="37"/>
      <c r="E69" s="37"/>
      <c r="F69" s="37">
        <f>SUM(G69:J69)</f>
        <v>16.413599999999999</v>
      </c>
      <c r="G69" s="37">
        <v>4.1033999999999997</v>
      </c>
      <c r="H69" s="37">
        <v>4.1033999999999997</v>
      </c>
      <c r="I69" s="37">
        <v>4.1033999999999997</v>
      </c>
      <c r="J69" s="37">
        <v>4.1033999999999997</v>
      </c>
      <c r="K69" s="215">
        <f t="shared" si="4"/>
        <v>0</v>
      </c>
      <c r="L69" s="215"/>
      <c r="M69" s="215"/>
      <c r="N69" s="215"/>
      <c r="O69" s="215"/>
      <c r="P69" s="215"/>
      <c r="Q69" s="215"/>
    </row>
    <row r="70" spans="1:17" ht="20.100000000000001" customHeight="1">
      <c r="A70" s="46" t="s">
        <v>79</v>
      </c>
      <c r="B70" s="27">
        <v>2033</v>
      </c>
      <c r="C70" s="37"/>
      <c r="D70" s="40"/>
      <c r="E70" s="37"/>
      <c r="F70" s="37"/>
      <c r="G70" s="12"/>
      <c r="H70" s="12"/>
      <c r="I70" s="37"/>
      <c r="J70" s="37"/>
      <c r="K70" s="215">
        <f t="shared" si="4"/>
        <v>0</v>
      </c>
      <c r="L70" s="215"/>
      <c r="M70" s="215"/>
      <c r="N70" s="215"/>
      <c r="O70" s="215"/>
      <c r="P70" s="215"/>
      <c r="Q70" s="215"/>
    </row>
    <row r="71" spans="1:17" ht="36.75" customHeight="1">
      <c r="A71" s="46" t="s">
        <v>80</v>
      </c>
      <c r="B71" s="27">
        <v>2030</v>
      </c>
      <c r="C71" s="46"/>
      <c r="D71" s="40"/>
      <c r="E71" s="37"/>
      <c r="F71" s="37"/>
      <c r="G71" s="12"/>
      <c r="H71" s="12"/>
      <c r="I71" s="37"/>
      <c r="J71" s="37"/>
      <c r="K71" s="215">
        <f t="shared" si="4"/>
        <v>0</v>
      </c>
    </row>
    <row r="72" spans="1:17" ht="20.100000000000001" customHeight="1">
      <c r="A72" s="46" t="s">
        <v>81</v>
      </c>
      <c r="B72" s="27">
        <v>2040</v>
      </c>
      <c r="C72" s="37"/>
      <c r="D72" s="40"/>
      <c r="E72" s="37"/>
      <c r="F72" s="37"/>
      <c r="G72" s="12"/>
      <c r="H72" s="12"/>
      <c r="I72" s="37"/>
      <c r="J72" s="37"/>
      <c r="K72" s="215">
        <f t="shared" si="4"/>
        <v>0</v>
      </c>
    </row>
    <row r="73" spans="1:17" ht="18.75" customHeight="1">
      <c r="A73" s="46" t="s">
        <v>82</v>
      </c>
      <c r="B73" s="27">
        <v>2050</v>
      </c>
      <c r="C73" s="37">
        <f t="shared" ref="C73:J73" si="8">C74+C75+C76</f>
        <v>0</v>
      </c>
      <c r="D73" s="40"/>
      <c r="E73" s="40"/>
      <c r="F73" s="39">
        <f t="shared" si="8"/>
        <v>108</v>
      </c>
      <c r="G73" s="12">
        <f t="shared" si="8"/>
        <v>27</v>
      </c>
      <c r="H73" s="12">
        <f t="shared" si="8"/>
        <v>27</v>
      </c>
      <c r="I73" s="37">
        <f t="shared" si="8"/>
        <v>27</v>
      </c>
      <c r="J73" s="37">
        <f t="shared" si="8"/>
        <v>27</v>
      </c>
      <c r="K73" s="215">
        <f t="shared" si="4"/>
        <v>0</v>
      </c>
    </row>
    <row r="74" spans="1:17" ht="20.100000000000001" customHeight="1">
      <c r="A74" s="46" t="s">
        <v>83</v>
      </c>
      <c r="B74" s="27">
        <v>2051</v>
      </c>
      <c r="C74" s="37"/>
      <c r="D74" s="40"/>
      <c r="E74" s="37"/>
      <c r="F74" s="37">
        <f>SUM(G74:J74)</f>
        <v>108</v>
      </c>
      <c r="G74" s="12">
        <v>27</v>
      </c>
      <c r="H74" s="12">
        <v>27</v>
      </c>
      <c r="I74" s="37">
        <v>27</v>
      </c>
      <c r="J74" s="37">
        <v>27</v>
      </c>
      <c r="K74" s="215">
        <f t="shared" si="4"/>
        <v>0</v>
      </c>
    </row>
    <row r="75" spans="1:17" ht="20.100000000000001" customHeight="1">
      <c r="A75" s="46" t="s">
        <v>84</v>
      </c>
      <c r="B75" s="27">
        <v>2052</v>
      </c>
      <c r="C75" s="37"/>
      <c r="D75" s="40"/>
      <c r="E75" s="37"/>
      <c r="F75" s="37"/>
      <c r="G75" s="12"/>
      <c r="H75" s="12"/>
      <c r="I75" s="37"/>
      <c r="J75" s="37"/>
    </row>
    <row r="76" spans="1:17" ht="20.100000000000001" customHeight="1">
      <c r="A76" s="46" t="s">
        <v>85</v>
      </c>
      <c r="B76" s="27">
        <v>2053</v>
      </c>
      <c r="C76" s="37"/>
      <c r="D76" s="40"/>
      <c r="E76" s="37"/>
      <c r="F76" s="37"/>
      <c r="G76" s="12"/>
      <c r="H76" s="12"/>
      <c r="I76" s="37"/>
      <c r="J76" s="37"/>
    </row>
    <row r="77" spans="1:17" ht="20.100000000000001" customHeight="1">
      <c r="A77" s="46" t="s">
        <v>86</v>
      </c>
      <c r="B77" s="27">
        <v>2060</v>
      </c>
      <c r="C77" s="37"/>
      <c r="D77" s="37"/>
      <c r="E77" s="37"/>
      <c r="F77" s="37">
        <f>SUM(G77:J77)</f>
        <v>338.4</v>
      </c>
      <c r="G77" s="37">
        <v>84.6</v>
      </c>
      <c r="H77" s="37">
        <v>84.6</v>
      </c>
      <c r="I77" s="37">
        <v>84.6</v>
      </c>
      <c r="J77" s="37">
        <v>84.6</v>
      </c>
    </row>
    <row r="78" spans="1:17" ht="20.100000000000001" customHeight="1">
      <c r="A78" s="46" t="s">
        <v>87</v>
      </c>
      <c r="B78" s="27">
        <v>2070</v>
      </c>
      <c r="C78" s="37"/>
      <c r="D78" s="40"/>
      <c r="E78" s="37"/>
      <c r="F78" s="37"/>
      <c r="G78" s="12"/>
      <c r="H78" s="12"/>
      <c r="I78" s="37"/>
      <c r="J78" s="37"/>
    </row>
    <row r="79" spans="1:17" ht="20.100000000000001" customHeight="1">
      <c r="A79" s="45" t="s">
        <v>88</v>
      </c>
      <c r="B79" s="27">
        <v>2100</v>
      </c>
      <c r="C79" s="37">
        <f t="shared" ref="C79:J79" si="9">C80+C81+C84+C87+C91+C92</f>
        <v>0</v>
      </c>
      <c r="D79" s="38">
        <f t="shared" si="9"/>
        <v>0</v>
      </c>
      <c r="E79" s="39">
        <f t="shared" si="9"/>
        <v>0</v>
      </c>
      <c r="F79" s="39">
        <f t="shared" si="9"/>
        <v>581.25</v>
      </c>
      <c r="G79" s="10">
        <f t="shared" si="9"/>
        <v>0</v>
      </c>
      <c r="H79" s="10">
        <f t="shared" si="9"/>
        <v>116.25</v>
      </c>
      <c r="I79" s="39">
        <f t="shared" si="9"/>
        <v>232.5</v>
      </c>
      <c r="J79" s="39">
        <f t="shared" si="9"/>
        <v>232.5</v>
      </c>
    </row>
    <row r="80" spans="1:17" ht="45.75" customHeight="1">
      <c r="A80" s="46" t="s">
        <v>89</v>
      </c>
      <c r="B80" s="27">
        <v>2110</v>
      </c>
      <c r="C80" s="37"/>
      <c r="D80" s="40"/>
      <c r="E80" s="37"/>
      <c r="F80" s="37">
        <f>SUM(G80:J80)</f>
        <v>581.25</v>
      </c>
      <c r="G80" s="12"/>
      <c r="H80" s="37">
        <v>116.25</v>
      </c>
      <c r="I80" s="37">
        <v>232.5</v>
      </c>
      <c r="J80" s="37">
        <v>232.5</v>
      </c>
    </row>
    <row r="81" spans="1:10" ht="20.100000000000001" customHeight="1">
      <c r="A81" s="46" t="s">
        <v>90</v>
      </c>
      <c r="B81" s="27">
        <v>2120</v>
      </c>
      <c r="C81" s="37">
        <f t="shared" ref="C81:J81" si="10">C82+C83</f>
        <v>0</v>
      </c>
      <c r="D81" s="40">
        <f t="shared" si="10"/>
        <v>0</v>
      </c>
      <c r="E81" s="37">
        <f t="shared" si="10"/>
        <v>0</v>
      </c>
      <c r="F81" s="37">
        <f t="shared" si="10"/>
        <v>0</v>
      </c>
      <c r="G81" s="12">
        <f t="shared" si="10"/>
        <v>0</v>
      </c>
      <c r="H81" s="12">
        <f t="shared" si="10"/>
        <v>0</v>
      </c>
      <c r="I81" s="37">
        <f t="shared" si="10"/>
        <v>0</v>
      </c>
      <c r="J81" s="37">
        <f t="shared" si="10"/>
        <v>0</v>
      </c>
    </row>
    <row r="82" spans="1:10" ht="20.100000000000001" customHeight="1">
      <c r="A82" s="46" t="s">
        <v>91</v>
      </c>
      <c r="B82" s="27">
        <v>2121</v>
      </c>
      <c r="C82" s="37"/>
      <c r="D82" s="40"/>
      <c r="E82" s="37"/>
      <c r="F82" s="37"/>
      <c r="G82" s="12"/>
      <c r="H82" s="12"/>
      <c r="I82" s="37"/>
      <c r="J82" s="37"/>
    </row>
    <row r="83" spans="1:10" ht="20.100000000000001" customHeight="1">
      <c r="A83" s="46" t="s">
        <v>92</v>
      </c>
      <c r="B83" s="27">
        <v>2122</v>
      </c>
      <c r="C83" s="37"/>
      <c r="D83" s="40"/>
      <c r="E83" s="37"/>
      <c r="F83" s="37"/>
      <c r="G83" s="12"/>
      <c r="H83" s="12"/>
      <c r="I83" s="37"/>
      <c r="J83" s="37"/>
    </row>
    <row r="84" spans="1:10" ht="20.100000000000001" customHeight="1">
      <c r="A84" s="46" t="s">
        <v>93</v>
      </c>
      <c r="B84" s="27">
        <v>2130</v>
      </c>
      <c r="C84" s="37">
        <f t="shared" ref="C84:J84" si="11">C85+C86</f>
        <v>0</v>
      </c>
      <c r="D84" s="40">
        <f t="shared" si="11"/>
        <v>0</v>
      </c>
      <c r="E84" s="37">
        <f t="shared" si="11"/>
        <v>0</v>
      </c>
      <c r="F84" s="37">
        <f t="shared" si="11"/>
        <v>0</v>
      </c>
      <c r="G84" s="12">
        <f t="shared" si="11"/>
        <v>0</v>
      </c>
      <c r="H84" s="12">
        <f t="shared" si="11"/>
        <v>0</v>
      </c>
      <c r="I84" s="37">
        <f t="shared" si="11"/>
        <v>0</v>
      </c>
      <c r="J84" s="37">
        <f t="shared" si="11"/>
        <v>0</v>
      </c>
    </row>
    <row r="85" spans="1:10" ht="20.100000000000001" customHeight="1">
      <c r="A85" s="46" t="s">
        <v>94</v>
      </c>
      <c r="B85" s="27">
        <v>2131</v>
      </c>
      <c r="C85" s="37"/>
      <c r="D85" s="40"/>
      <c r="E85" s="37"/>
      <c r="F85" s="37"/>
      <c r="G85" s="12"/>
      <c r="H85" s="12"/>
      <c r="I85" s="37"/>
      <c r="J85" s="37"/>
    </row>
    <row r="86" spans="1:10" ht="20.100000000000001" customHeight="1">
      <c r="A86" s="46" t="s">
        <v>95</v>
      </c>
      <c r="B86" s="27">
        <v>2132</v>
      </c>
      <c r="C86" s="37"/>
      <c r="D86" s="40"/>
      <c r="E86" s="37"/>
      <c r="F86" s="37"/>
      <c r="G86" s="12"/>
      <c r="H86" s="12"/>
      <c r="I86" s="37"/>
      <c r="J86" s="37"/>
    </row>
    <row r="87" spans="1:10" ht="20.100000000000001" customHeight="1">
      <c r="A87" s="46" t="s">
        <v>96</v>
      </c>
      <c r="B87" s="27">
        <v>2140</v>
      </c>
      <c r="C87" s="37">
        <f t="shared" ref="C87:J87" si="12">C88+C89+C90</f>
        <v>0</v>
      </c>
      <c r="D87" s="40">
        <f t="shared" si="12"/>
        <v>0</v>
      </c>
      <c r="E87" s="37">
        <f t="shared" si="12"/>
        <v>0</v>
      </c>
      <c r="F87" s="37">
        <f t="shared" si="12"/>
        <v>0</v>
      </c>
      <c r="G87" s="12">
        <f t="shared" si="12"/>
        <v>0</v>
      </c>
      <c r="H87" s="12">
        <f t="shared" si="12"/>
        <v>0</v>
      </c>
      <c r="I87" s="37">
        <f t="shared" si="12"/>
        <v>0</v>
      </c>
      <c r="J87" s="37">
        <f t="shared" si="12"/>
        <v>0</v>
      </c>
    </row>
    <row r="88" spans="1:10" ht="20.100000000000001" customHeight="1">
      <c r="A88" s="46" t="s">
        <v>97</v>
      </c>
      <c r="B88" s="27">
        <v>2141</v>
      </c>
      <c r="C88" s="37"/>
      <c r="D88" s="40"/>
      <c r="E88" s="37"/>
      <c r="F88" s="37"/>
      <c r="G88" s="12"/>
      <c r="H88" s="12"/>
      <c r="I88" s="37"/>
      <c r="J88" s="37"/>
    </row>
    <row r="89" spans="1:10" ht="20.100000000000001" customHeight="1">
      <c r="A89" s="46" t="s">
        <v>98</v>
      </c>
      <c r="B89" s="27">
        <v>2142</v>
      </c>
      <c r="C89" s="37"/>
      <c r="D89" s="40"/>
      <c r="E89" s="37"/>
      <c r="F89" s="37"/>
      <c r="G89" s="12"/>
      <c r="H89" s="12"/>
      <c r="I89" s="37"/>
      <c r="J89" s="37"/>
    </row>
    <row r="90" spans="1:10" ht="20.100000000000001" customHeight="1">
      <c r="A90" s="46" t="s">
        <v>99</v>
      </c>
      <c r="B90" s="27">
        <v>2143</v>
      </c>
      <c r="C90" s="37"/>
      <c r="D90" s="40"/>
      <c r="E90" s="37"/>
      <c r="F90" s="37"/>
      <c r="G90" s="12"/>
      <c r="H90" s="12"/>
      <c r="I90" s="37"/>
      <c r="J90" s="37"/>
    </row>
    <row r="91" spans="1:10" ht="20.100000000000001" customHeight="1">
      <c r="A91" s="46" t="s">
        <v>100</v>
      </c>
      <c r="B91" s="27">
        <v>2150</v>
      </c>
      <c r="C91" s="37"/>
      <c r="D91" s="40"/>
      <c r="E91" s="37"/>
      <c r="F91" s="37"/>
      <c r="G91" s="12"/>
      <c r="H91" s="12"/>
      <c r="I91" s="37"/>
      <c r="J91" s="37"/>
    </row>
    <row r="92" spans="1:10" ht="20.100000000000001" customHeight="1">
      <c r="A92" s="46" t="s">
        <v>101</v>
      </c>
      <c r="B92" s="27">
        <v>2160</v>
      </c>
      <c r="C92" s="37"/>
      <c r="D92" s="40"/>
      <c r="E92" s="37"/>
      <c r="F92" s="37"/>
      <c r="G92" s="12"/>
      <c r="H92" s="12"/>
      <c r="I92" s="37"/>
      <c r="J92" s="37"/>
    </row>
    <row r="93" spans="1:10" ht="20.100000000000001" customHeight="1">
      <c r="A93" s="46" t="s">
        <v>102</v>
      </c>
      <c r="B93" s="27">
        <v>2170</v>
      </c>
      <c r="C93" s="37"/>
      <c r="D93" s="40"/>
      <c r="E93" s="37"/>
      <c r="F93" s="37"/>
      <c r="G93" s="12"/>
      <c r="H93" s="12"/>
      <c r="I93" s="37"/>
      <c r="J93" s="37"/>
    </row>
    <row r="94" spans="1:10" ht="20.100000000000001" customHeight="1">
      <c r="A94" s="46"/>
      <c r="B94" s="27">
        <v>2171</v>
      </c>
      <c r="C94" s="37"/>
      <c r="D94" s="40"/>
      <c r="E94" s="37"/>
      <c r="F94" s="37"/>
      <c r="G94" s="12"/>
      <c r="H94" s="12"/>
      <c r="I94" s="37"/>
      <c r="J94" s="37"/>
    </row>
    <row r="95" spans="1:10" ht="20.100000000000001" customHeight="1">
      <c r="A95" s="36" t="s">
        <v>103</v>
      </c>
      <c r="B95" s="27">
        <v>4000</v>
      </c>
      <c r="C95" s="37">
        <f t="shared" ref="C95:J95" si="13">C38+C41+C42+C45</f>
        <v>0</v>
      </c>
      <c r="D95" s="38">
        <f t="shared" si="13"/>
        <v>26582</v>
      </c>
      <c r="E95" s="39">
        <f t="shared" si="13"/>
        <v>26582</v>
      </c>
      <c r="F95" s="39">
        <f>F38+F41+F42+F45</f>
        <v>31655.168477352003</v>
      </c>
      <c r="G95" s="10">
        <f t="shared" si="13"/>
        <v>7799.129780799999</v>
      </c>
      <c r="H95" s="10">
        <f t="shared" si="13"/>
        <v>7800.1486372400004</v>
      </c>
      <c r="I95" s="39">
        <f t="shared" si="13"/>
        <v>7841.9948052</v>
      </c>
      <c r="J95" s="39">
        <f t="shared" si="13"/>
        <v>8213.8952541119997</v>
      </c>
    </row>
    <row r="96" spans="1:10" ht="20.100000000000001" customHeight="1">
      <c r="A96" s="36" t="s">
        <v>104</v>
      </c>
      <c r="B96" s="27">
        <v>5000</v>
      </c>
      <c r="C96" s="37">
        <f t="shared" ref="C96:J96" si="14">C54+C79</f>
        <v>0</v>
      </c>
      <c r="D96" s="38">
        <f t="shared" si="14"/>
        <v>0</v>
      </c>
      <c r="E96" s="39">
        <f t="shared" si="14"/>
        <v>0</v>
      </c>
      <c r="F96" s="39">
        <f t="shared" si="14"/>
        <v>31655.168477352003</v>
      </c>
      <c r="G96" s="10">
        <f t="shared" si="14"/>
        <v>7799.129780799999</v>
      </c>
      <c r="H96" s="10">
        <f t="shared" si="14"/>
        <v>7800.1486372400004</v>
      </c>
      <c r="I96" s="39">
        <f t="shared" si="14"/>
        <v>7841.9948052</v>
      </c>
      <c r="J96" s="39">
        <f t="shared" si="14"/>
        <v>8213.8952541119997</v>
      </c>
    </row>
    <row r="97" spans="1:10" ht="20.100000000000001" customHeight="1">
      <c r="A97" s="48" t="s">
        <v>105</v>
      </c>
      <c r="B97" s="27">
        <v>6000</v>
      </c>
      <c r="C97" s="39">
        <f t="shared" ref="C97:J97" si="15">C95-C96</f>
        <v>0</v>
      </c>
      <c r="D97" s="38">
        <f t="shared" si="15"/>
        <v>26582</v>
      </c>
      <c r="E97" s="39">
        <f t="shared" si="15"/>
        <v>26582</v>
      </c>
      <c r="F97" s="39">
        <f t="shared" si="15"/>
        <v>0</v>
      </c>
      <c r="G97" s="10">
        <f t="shared" si="15"/>
        <v>0</v>
      </c>
      <c r="H97" s="10">
        <f t="shared" si="15"/>
        <v>0</v>
      </c>
      <c r="I97" s="39">
        <f t="shared" si="15"/>
        <v>0</v>
      </c>
      <c r="J97" s="39">
        <f t="shared" si="15"/>
        <v>0</v>
      </c>
    </row>
    <row r="98" spans="1:10" ht="24.95" customHeight="1">
      <c r="A98" s="391" t="s">
        <v>106</v>
      </c>
      <c r="B98" s="391"/>
      <c r="C98" s="391"/>
      <c r="D98" s="391"/>
      <c r="E98" s="391"/>
      <c r="F98" s="391"/>
      <c r="G98" s="391"/>
      <c r="H98" s="391"/>
      <c r="I98" s="391"/>
      <c r="J98" s="391"/>
    </row>
    <row r="99" spans="1:10" ht="37.5">
      <c r="A99" s="49" t="s">
        <v>107</v>
      </c>
      <c r="B99" s="27">
        <v>7100</v>
      </c>
      <c r="C99" s="39">
        <f>C100+C101+C102+C103</f>
        <v>0</v>
      </c>
      <c r="D99" s="39">
        <f>D100+D101+D102+D103</f>
        <v>0</v>
      </c>
      <c r="E99" s="39">
        <f>E100+E101+E102+E103</f>
        <v>0</v>
      </c>
      <c r="F99" s="39">
        <f>F100+F101+F102+F103</f>
        <v>30</v>
      </c>
      <c r="G99" s="95">
        <f>SUM(G100:G103)</f>
        <v>7.5</v>
      </c>
      <c r="H99" s="95">
        <f>SUM(H100:H103)</f>
        <v>7.5</v>
      </c>
      <c r="I99" s="95">
        <f>SUM(I100:I103)</f>
        <v>7.5</v>
      </c>
      <c r="J99" s="95">
        <f>SUM(J100:J103)</f>
        <v>7.5</v>
      </c>
    </row>
    <row r="100" spans="1:10" ht="37.5">
      <c r="A100" s="51" t="s">
        <v>108</v>
      </c>
      <c r="B100" s="27">
        <v>7110</v>
      </c>
      <c r="C100" s="37"/>
      <c r="D100" s="37"/>
      <c r="E100" s="37"/>
      <c r="F100" s="37">
        <f>SUM(G100:J100)</f>
        <v>30</v>
      </c>
      <c r="G100" s="95">
        <v>7.5</v>
      </c>
      <c r="H100" s="95">
        <v>7.5</v>
      </c>
      <c r="I100" s="50">
        <v>7.5</v>
      </c>
      <c r="J100" s="50">
        <v>7.5</v>
      </c>
    </row>
    <row r="101" spans="1:10" ht="37.5">
      <c r="A101" s="52" t="s">
        <v>109</v>
      </c>
      <c r="B101" s="35">
        <v>7120</v>
      </c>
      <c r="C101" s="37"/>
      <c r="D101" s="37"/>
      <c r="E101" s="37"/>
      <c r="F101" s="37"/>
      <c r="G101" s="13"/>
      <c r="H101" s="13"/>
      <c r="I101" s="53"/>
      <c r="J101" s="53"/>
    </row>
    <row r="102" spans="1:10">
      <c r="A102" s="54" t="s">
        <v>110</v>
      </c>
      <c r="B102" s="35">
        <v>7130</v>
      </c>
      <c r="C102" s="37"/>
      <c r="D102" s="37"/>
      <c r="E102" s="37"/>
      <c r="F102" s="37"/>
      <c r="G102" s="13"/>
      <c r="H102" s="13"/>
      <c r="I102" s="53"/>
      <c r="J102" s="53"/>
    </row>
    <row r="103" spans="1:10">
      <c r="A103" s="54" t="s">
        <v>111</v>
      </c>
      <c r="B103" s="35">
        <v>7140</v>
      </c>
      <c r="C103" s="37"/>
      <c r="D103" s="37"/>
      <c r="E103" s="37"/>
      <c r="F103" s="37"/>
      <c r="G103" s="13"/>
      <c r="H103" s="13"/>
      <c r="I103" s="53"/>
      <c r="J103" s="53"/>
    </row>
    <row r="104" spans="1:10" ht="37.5">
      <c r="A104" s="55" t="s">
        <v>112</v>
      </c>
      <c r="B104" s="35">
        <v>7200</v>
      </c>
      <c r="C104" s="39">
        <f t="shared" ref="C104:J104" si="16">C105+C106</f>
        <v>0</v>
      </c>
      <c r="D104" s="38">
        <f t="shared" si="16"/>
        <v>0</v>
      </c>
      <c r="E104" s="38">
        <f t="shared" si="16"/>
        <v>0</v>
      </c>
      <c r="F104" s="56">
        <f t="shared" si="16"/>
        <v>3685.5107999999996</v>
      </c>
      <c r="G104" s="11">
        <f t="shared" si="16"/>
        <v>921.37769999999989</v>
      </c>
      <c r="H104" s="11">
        <f t="shared" si="16"/>
        <v>921.37769999999989</v>
      </c>
      <c r="I104" s="56">
        <f t="shared" si="16"/>
        <v>921.37769999999989</v>
      </c>
      <c r="J104" s="56">
        <f t="shared" si="16"/>
        <v>921.37769999999989</v>
      </c>
    </row>
    <row r="105" spans="1:10">
      <c r="A105" s="51" t="s">
        <v>113</v>
      </c>
      <c r="B105" s="35">
        <v>7210</v>
      </c>
      <c r="C105" s="39"/>
      <c r="D105" s="40"/>
      <c r="E105" s="38"/>
      <c r="F105" s="57">
        <f>SUM(G105:J105)</f>
        <v>3685.5107999999996</v>
      </c>
      <c r="G105" s="96">
        <v>921.37769999999989</v>
      </c>
      <c r="H105" s="96">
        <v>921.37769999999989</v>
      </c>
      <c r="I105" s="58">
        <v>921.37769999999989</v>
      </c>
      <c r="J105" s="58">
        <v>921.37769999999989</v>
      </c>
    </row>
    <row r="106" spans="1:10">
      <c r="A106" s="52" t="s">
        <v>114</v>
      </c>
      <c r="B106" s="59">
        <v>7220</v>
      </c>
      <c r="C106" s="39"/>
      <c r="D106" s="39"/>
      <c r="E106" s="38"/>
      <c r="F106" s="57"/>
      <c r="G106" s="96"/>
      <c r="H106" s="96"/>
      <c r="I106" s="58"/>
      <c r="J106" s="58"/>
    </row>
    <row r="107" spans="1:10" ht="37.5">
      <c r="A107" s="55" t="s">
        <v>115</v>
      </c>
      <c r="B107" s="35">
        <v>7300</v>
      </c>
      <c r="C107" s="39">
        <f t="shared" ref="C107:J107" si="17">C108+C109+C110+C111</f>
        <v>0</v>
      </c>
      <c r="D107" s="38">
        <f t="shared" si="17"/>
        <v>0</v>
      </c>
      <c r="E107" s="38">
        <f t="shared" si="17"/>
        <v>0</v>
      </c>
      <c r="F107" s="38">
        <f t="shared" si="17"/>
        <v>4811.6390999999994</v>
      </c>
      <c r="G107" s="93">
        <f t="shared" si="17"/>
        <v>1202.9097749999994</v>
      </c>
      <c r="H107" s="93">
        <f t="shared" si="17"/>
        <v>1202.9097749999999</v>
      </c>
      <c r="I107" s="38">
        <f t="shared" si="17"/>
        <v>1202.9097749999999</v>
      </c>
      <c r="J107" s="38">
        <f t="shared" si="17"/>
        <v>1202.9097749999999</v>
      </c>
    </row>
    <row r="108" spans="1:10" ht="37.5">
      <c r="A108" s="54" t="s">
        <v>116</v>
      </c>
      <c r="B108" s="35">
        <v>7310</v>
      </c>
      <c r="C108" s="37"/>
      <c r="D108" s="40"/>
      <c r="E108" s="40"/>
      <c r="F108" s="40">
        <f>SUM(G108:J108)</f>
        <v>4504.5131999999994</v>
      </c>
      <c r="G108" s="94">
        <v>1126.1282999999994</v>
      </c>
      <c r="H108" s="94">
        <v>1126.1282999999999</v>
      </c>
      <c r="I108" s="40">
        <v>1126.1282999999999</v>
      </c>
      <c r="J108" s="40">
        <v>1126.1282999999999</v>
      </c>
    </row>
    <row r="109" spans="1:10">
      <c r="A109" s="54" t="s">
        <v>117</v>
      </c>
      <c r="B109" s="35">
        <v>7320</v>
      </c>
      <c r="C109" s="37"/>
      <c r="D109" s="40"/>
      <c r="E109" s="40"/>
      <c r="F109" s="40">
        <f>SUM(G109:J109)</f>
        <v>307.12589999999994</v>
      </c>
      <c r="G109" s="97">
        <v>76.781474999999986</v>
      </c>
      <c r="H109" s="97">
        <v>76.781474999999986</v>
      </c>
      <c r="I109" s="60">
        <v>76.781474999999986</v>
      </c>
      <c r="J109" s="60">
        <v>76.781474999999986</v>
      </c>
    </row>
    <row r="110" spans="1:10" ht="41.25" customHeight="1">
      <c r="A110" s="54" t="s">
        <v>118</v>
      </c>
      <c r="B110" s="35">
        <v>7330</v>
      </c>
      <c r="C110" s="37"/>
      <c r="D110" s="37"/>
      <c r="E110" s="37"/>
      <c r="F110" s="37"/>
      <c r="G110" s="13"/>
      <c r="H110" s="13"/>
      <c r="I110" s="53"/>
      <c r="J110" s="53"/>
    </row>
    <row r="111" spans="1:10" ht="31.5" customHeight="1">
      <c r="A111" s="61" t="s">
        <v>240</v>
      </c>
      <c r="B111" s="35">
        <v>7340</v>
      </c>
      <c r="C111" s="37"/>
      <c r="D111" s="37"/>
      <c r="E111" s="37"/>
      <c r="F111" s="37"/>
      <c r="G111" s="13"/>
      <c r="H111" s="13"/>
      <c r="I111" s="53"/>
      <c r="J111" s="53"/>
    </row>
    <row r="112" spans="1:10" ht="25.5" customHeight="1">
      <c r="A112" s="55" t="s">
        <v>119</v>
      </c>
      <c r="B112" s="35">
        <v>7000</v>
      </c>
      <c r="C112" s="39">
        <f t="shared" ref="C112:J112" si="18">C107+C104+C99</f>
        <v>0</v>
      </c>
      <c r="D112" s="39">
        <f t="shared" si="18"/>
        <v>0</v>
      </c>
      <c r="E112" s="39">
        <f t="shared" si="18"/>
        <v>0</v>
      </c>
      <c r="F112" s="39">
        <f t="shared" si="18"/>
        <v>8527.1498999999985</v>
      </c>
      <c r="G112" s="10">
        <f t="shared" si="18"/>
        <v>2131.7874749999992</v>
      </c>
      <c r="H112" s="10">
        <f t="shared" si="18"/>
        <v>2131.7874749999996</v>
      </c>
      <c r="I112" s="39">
        <f t="shared" si="18"/>
        <v>2131.7874749999996</v>
      </c>
      <c r="J112" s="39">
        <f t="shared" si="18"/>
        <v>2131.7874749999996</v>
      </c>
    </row>
    <row r="113" spans="1:10" ht="24.95" customHeight="1">
      <c r="A113" s="399" t="s">
        <v>241</v>
      </c>
      <c r="B113" s="399"/>
      <c r="C113" s="399"/>
      <c r="D113" s="399"/>
      <c r="E113" s="399"/>
      <c r="F113" s="399"/>
      <c r="G113" s="399"/>
      <c r="H113" s="399"/>
      <c r="I113" s="399"/>
      <c r="J113" s="399"/>
    </row>
    <row r="114" spans="1:10" ht="38.25" customHeight="1">
      <c r="A114" s="55" t="s">
        <v>242</v>
      </c>
      <c r="B114" s="35">
        <v>8000</v>
      </c>
      <c r="C114" s="37"/>
      <c r="D114" s="37">
        <f>SUM(D115:D120)</f>
        <v>0</v>
      </c>
      <c r="E114" s="37">
        <f t="shared" ref="E114:J114" si="19">SUM(E115:E120)</f>
        <v>0</v>
      </c>
      <c r="F114" s="37">
        <f t="shared" si="19"/>
        <v>2325</v>
      </c>
      <c r="G114" s="37">
        <f t="shared" si="19"/>
        <v>0</v>
      </c>
      <c r="H114" s="37">
        <f t="shared" si="19"/>
        <v>1162.5</v>
      </c>
      <c r="I114" s="37">
        <f t="shared" si="19"/>
        <v>1162.5</v>
      </c>
      <c r="J114" s="37">
        <f t="shared" si="19"/>
        <v>0</v>
      </c>
    </row>
    <row r="115" spans="1:10" ht="20.100000000000001" customHeight="1">
      <c r="A115" s="54" t="s">
        <v>122</v>
      </c>
      <c r="B115" s="35">
        <v>8010</v>
      </c>
      <c r="C115" s="37"/>
      <c r="D115" s="37"/>
      <c r="E115" s="37"/>
      <c r="F115" s="37"/>
      <c r="G115" s="13"/>
      <c r="H115" s="13"/>
      <c r="I115" s="53"/>
      <c r="J115" s="53"/>
    </row>
    <row r="116" spans="1:10" ht="20.100000000000001" customHeight="1">
      <c r="A116" s="54" t="s">
        <v>123</v>
      </c>
      <c r="B116" s="35">
        <v>8020</v>
      </c>
      <c r="C116" s="37"/>
      <c r="D116" s="37"/>
      <c r="E116" s="37"/>
      <c r="F116" s="37">
        <f>SUM(G116:J116)</f>
        <v>2325</v>
      </c>
      <c r="G116" s="37"/>
      <c r="H116" s="37">
        <v>1162.5</v>
      </c>
      <c r="I116" s="37">
        <v>1162.5</v>
      </c>
      <c r="J116" s="37"/>
    </row>
    <row r="117" spans="1:10" ht="36" customHeight="1">
      <c r="A117" s="54" t="s">
        <v>124</v>
      </c>
      <c r="B117" s="35">
        <v>8030</v>
      </c>
      <c r="C117" s="37"/>
      <c r="D117" s="37"/>
      <c r="E117" s="37"/>
      <c r="F117" s="37"/>
      <c r="G117" s="13"/>
      <c r="H117" s="13"/>
      <c r="I117" s="53"/>
      <c r="J117" s="53"/>
    </row>
    <row r="118" spans="1:10" ht="20.100000000000001" customHeight="1">
      <c r="A118" s="54" t="s">
        <v>125</v>
      </c>
      <c r="B118" s="35">
        <v>8040</v>
      </c>
      <c r="C118" s="37"/>
      <c r="D118" s="37"/>
      <c r="E118" s="37"/>
      <c r="F118" s="37"/>
      <c r="G118" s="13"/>
      <c r="H118" s="13"/>
      <c r="I118" s="53"/>
      <c r="J118" s="53"/>
    </row>
    <row r="119" spans="1:10" ht="45.75" customHeight="1">
      <c r="A119" s="54" t="s">
        <v>126</v>
      </c>
      <c r="B119" s="35">
        <v>8050</v>
      </c>
      <c r="C119" s="37"/>
      <c r="D119" s="37"/>
      <c r="E119" s="37"/>
      <c r="F119" s="37"/>
      <c r="G119" s="13"/>
      <c r="H119" s="13"/>
      <c r="I119" s="53"/>
      <c r="J119" s="53"/>
    </row>
    <row r="120" spans="1:10" ht="20.100000000000001" customHeight="1">
      <c r="A120" s="54" t="s">
        <v>127</v>
      </c>
      <c r="B120" s="27">
        <v>8060</v>
      </c>
      <c r="C120" s="37"/>
      <c r="D120" s="37"/>
      <c r="E120" s="37"/>
      <c r="F120" s="37"/>
      <c r="G120" s="13"/>
      <c r="H120" s="13"/>
      <c r="I120" s="53"/>
      <c r="J120" s="53"/>
    </row>
    <row r="121" spans="1:10" ht="24.95" customHeight="1">
      <c r="A121" s="400" t="s">
        <v>137</v>
      </c>
      <c r="B121" s="400"/>
      <c r="C121" s="400"/>
      <c r="D121" s="400"/>
      <c r="E121" s="400"/>
      <c r="F121" s="400"/>
      <c r="G121" s="400"/>
      <c r="H121" s="400"/>
      <c r="I121" s="400"/>
      <c r="J121" s="400"/>
    </row>
    <row r="122" spans="1:10" ht="19.5" customHeight="1">
      <c r="A122" s="62" t="s">
        <v>138</v>
      </c>
      <c r="B122" s="63">
        <v>9010</v>
      </c>
      <c r="C122" s="64"/>
      <c r="D122" s="64">
        <f>(D97/D38)*100</f>
        <v>105.60146194184014</v>
      </c>
      <c r="E122" s="64">
        <f>(E97/E38)*100</f>
        <v>105.60146194184014</v>
      </c>
      <c r="F122" s="64">
        <f>(F97/F38)*100</f>
        <v>0</v>
      </c>
      <c r="G122" s="13" t="s">
        <v>243</v>
      </c>
      <c r="H122" s="13" t="s">
        <v>243</v>
      </c>
      <c r="I122" s="53" t="s">
        <v>243</v>
      </c>
      <c r="J122" s="53" t="s">
        <v>243</v>
      </c>
    </row>
    <row r="123" spans="1:10" ht="20.100000000000001" customHeight="1">
      <c r="A123" s="62" t="s">
        <v>139</v>
      </c>
      <c r="B123" s="63">
        <v>9020</v>
      </c>
      <c r="C123" s="64"/>
      <c r="D123" s="64">
        <v>0</v>
      </c>
      <c r="E123" s="64">
        <v>0</v>
      </c>
      <c r="F123" s="64">
        <v>0</v>
      </c>
      <c r="G123" s="13" t="s">
        <v>243</v>
      </c>
      <c r="H123" s="13" t="s">
        <v>243</v>
      </c>
      <c r="I123" s="53" t="s">
        <v>243</v>
      </c>
      <c r="J123" s="53" t="s">
        <v>243</v>
      </c>
    </row>
    <row r="124" spans="1:10" ht="20.100000000000001" customHeight="1">
      <c r="A124" s="54" t="s">
        <v>140</v>
      </c>
      <c r="B124" s="27">
        <v>9030</v>
      </c>
      <c r="C124" s="64"/>
      <c r="D124" s="64">
        <v>0</v>
      </c>
      <c r="E124" s="64">
        <v>0</v>
      </c>
      <c r="F124" s="64">
        <v>0</v>
      </c>
      <c r="G124" s="13" t="s">
        <v>243</v>
      </c>
      <c r="H124" s="13" t="s">
        <v>243</v>
      </c>
      <c r="I124" s="53" t="s">
        <v>243</v>
      </c>
      <c r="J124" s="53" t="s">
        <v>243</v>
      </c>
    </row>
    <row r="125" spans="1:10" ht="20.100000000000001" customHeight="1">
      <c r="A125" s="65" t="s">
        <v>141</v>
      </c>
      <c r="B125" s="66">
        <v>9040</v>
      </c>
      <c r="C125" s="64"/>
      <c r="D125" s="64">
        <v>0</v>
      </c>
      <c r="E125" s="64">
        <v>0</v>
      </c>
      <c r="F125" s="64">
        <v>0</v>
      </c>
      <c r="G125" s="13" t="s">
        <v>243</v>
      </c>
      <c r="H125" s="13" t="s">
        <v>243</v>
      </c>
      <c r="I125" s="53" t="s">
        <v>243</v>
      </c>
      <c r="J125" s="53" t="s">
        <v>243</v>
      </c>
    </row>
    <row r="126" spans="1:10" ht="20.100000000000001" customHeight="1">
      <c r="A126" s="65" t="s">
        <v>142</v>
      </c>
      <c r="B126" s="66">
        <v>9050</v>
      </c>
      <c r="C126" s="64"/>
      <c r="D126" s="67" t="e">
        <f>D131/D130</f>
        <v>#DIV/0!</v>
      </c>
      <c r="E126" s="64" t="e">
        <f>E131/E130</f>
        <v>#DIV/0!</v>
      </c>
      <c r="F126" s="67">
        <f>F131/F130</f>
        <v>0.70061728395061729</v>
      </c>
      <c r="G126" s="13" t="s">
        <v>243</v>
      </c>
      <c r="H126" s="13" t="s">
        <v>243</v>
      </c>
      <c r="I126" s="53" t="s">
        <v>243</v>
      </c>
      <c r="J126" s="53" t="s">
        <v>243</v>
      </c>
    </row>
    <row r="127" spans="1:10" ht="24.95" customHeight="1">
      <c r="A127" s="391" t="s">
        <v>143</v>
      </c>
      <c r="B127" s="391"/>
      <c r="C127" s="391"/>
      <c r="D127" s="391"/>
      <c r="E127" s="391"/>
      <c r="F127" s="391"/>
      <c r="G127" s="391"/>
      <c r="H127" s="391"/>
      <c r="I127" s="391"/>
      <c r="J127" s="391"/>
    </row>
    <row r="128" spans="1:10" ht="20.100000000000001" customHeight="1">
      <c r="A128" s="62" t="s">
        <v>144</v>
      </c>
      <c r="B128" s="63">
        <v>10000</v>
      </c>
      <c r="C128" s="37"/>
      <c r="D128" s="37"/>
      <c r="E128" s="37"/>
      <c r="F128" s="37">
        <f>F129</f>
        <v>2425</v>
      </c>
      <c r="G128" s="13" t="s">
        <v>243</v>
      </c>
      <c r="H128" s="13" t="s">
        <v>243</v>
      </c>
      <c r="I128" s="53" t="s">
        <v>243</v>
      </c>
      <c r="J128" s="53" t="s">
        <v>243</v>
      </c>
    </row>
    <row r="129" spans="1:10" ht="20.100000000000001" customHeight="1">
      <c r="A129" s="62" t="s">
        <v>244</v>
      </c>
      <c r="B129" s="63">
        <v>10001</v>
      </c>
      <c r="C129" s="37">
        <f>C130-C131</f>
        <v>0</v>
      </c>
      <c r="D129" s="37">
        <v>2496</v>
      </c>
      <c r="E129" s="37">
        <v>2496</v>
      </c>
      <c r="F129" s="37">
        <f>F130-F131</f>
        <v>2425</v>
      </c>
      <c r="G129" s="13" t="s">
        <v>243</v>
      </c>
      <c r="H129" s="13" t="s">
        <v>243</v>
      </c>
      <c r="I129" s="53" t="s">
        <v>243</v>
      </c>
      <c r="J129" s="53" t="s">
        <v>243</v>
      </c>
    </row>
    <row r="130" spans="1:10" ht="20.100000000000001" customHeight="1">
      <c r="A130" s="62" t="s">
        <v>146</v>
      </c>
      <c r="B130" s="63">
        <v>10002</v>
      </c>
      <c r="C130" s="37"/>
      <c r="D130" s="37"/>
      <c r="E130" s="37"/>
      <c r="F130" s="37">
        <v>8100</v>
      </c>
      <c r="G130" s="13" t="s">
        <v>243</v>
      </c>
      <c r="H130" s="13" t="s">
        <v>243</v>
      </c>
      <c r="I130" s="53" t="s">
        <v>243</v>
      </c>
      <c r="J130" s="53" t="s">
        <v>243</v>
      </c>
    </row>
    <row r="131" spans="1:10" ht="20.100000000000001" customHeight="1">
      <c r="A131" s="62" t="s">
        <v>147</v>
      </c>
      <c r="B131" s="63">
        <v>10003</v>
      </c>
      <c r="C131" s="37"/>
      <c r="D131" s="37"/>
      <c r="E131" s="37"/>
      <c r="F131" s="37">
        <v>5675</v>
      </c>
      <c r="G131" s="13" t="s">
        <v>243</v>
      </c>
      <c r="H131" s="13" t="s">
        <v>243</v>
      </c>
      <c r="I131" s="53" t="s">
        <v>243</v>
      </c>
      <c r="J131" s="53" t="s">
        <v>243</v>
      </c>
    </row>
    <row r="132" spans="1:10" ht="20.100000000000001" customHeight="1">
      <c r="A132" s="54" t="s">
        <v>148</v>
      </c>
      <c r="B132" s="27">
        <v>10010</v>
      </c>
      <c r="C132" s="37"/>
      <c r="D132" s="37"/>
      <c r="E132" s="37"/>
      <c r="F132" s="37">
        <f>F134+F133</f>
        <v>838</v>
      </c>
      <c r="G132" s="13" t="s">
        <v>243</v>
      </c>
      <c r="H132" s="13" t="s">
        <v>243</v>
      </c>
      <c r="I132" s="53" t="s">
        <v>243</v>
      </c>
      <c r="J132" s="53" t="s">
        <v>243</v>
      </c>
    </row>
    <row r="133" spans="1:10" ht="20.100000000000001" customHeight="1">
      <c r="A133" s="54" t="s">
        <v>245</v>
      </c>
      <c r="B133" s="27">
        <v>10011</v>
      </c>
      <c r="C133" s="37"/>
      <c r="D133" s="37"/>
      <c r="E133" s="37"/>
      <c r="F133" s="37">
        <v>835</v>
      </c>
      <c r="G133" s="13" t="s">
        <v>243</v>
      </c>
      <c r="H133" s="13" t="s">
        <v>243</v>
      </c>
      <c r="I133" s="53" t="s">
        <v>243</v>
      </c>
      <c r="J133" s="53" t="s">
        <v>243</v>
      </c>
    </row>
    <row r="134" spans="1:10" ht="20.100000000000001" customHeight="1">
      <c r="A134" s="54" t="s">
        <v>150</v>
      </c>
      <c r="B134" s="27">
        <v>10012</v>
      </c>
      <c r="C134" s="37"/>
      <c r="D134" s="37"/>
      <c r="E134" s="37"/>
      <c r="F134" s="37">
        <v>3</v>
      </c>
      <c r="G134" s="13" t="s">
        <v>243</v>
      </c>
      <c r="H134" s="13" t="s">
        <v>243</v>
      </c>
      <c r="I134" s="53" t="s">
        <v>243</v>
      </c>
      <c r="J134" s="53" t="s">
        <v>243</v>
      </c>
    </row>
    <row r="135" spans="1:10" s="68" customFormat="1" ht="20.100000000000001" customHeight="1">
      <c r="A135" s="55" t="s">
        <v>151</v>
      </c>
      <c r="B135" s="27">
        <v>10020</v>
      </c>
      <c r="C135" s="37">
        <f>C128+C132</f>
        <v>0</v>
      </c>
      <c r="D135" s="37">
        <f>D128+D132</f>
        <v>0</v>
      </c>
      <c r="E135" s="37">
        <f>E128+E132</f>
        <v>0</v>
      </c>
      <c r="F135" s="37">
        <f>F128+F132</f>
        <v>3263</v>
      </c>
      <c r="G135" s="13" t="s">
        <v>243</v>
      </c>
      <c r="H135" s="13" t="s">
        <v>243</v>
      </c>
      <c r="I135" s="53" t="s">
        <v>243</v>
      </c>
      <c r="J135" s="53" t="s">
        <v>243</v>
      </c>
    </row>
    <row r="136" spans="1:10" ht="20.100000000000001" customHeight="1">
      <c r="A136" s="54" t="s">
        <v>152</v>
      </c>
      <c r="B136" s="27">
        <v>10030</v>
      </c>
      <c r="C136" s="37"/>
      <c r="D136" s="37"/>
      <c r="E136" s="37"/>
      <c r="F136" s="37"/>
      <c r="G136" s="13" t="s">
        <v>243</v>
      </c>
      <c r="H136" s="13" t="s">
        <v>243</v>
      </c>
      <c r="I136" s="53" t="s">
        <v>243</v>
      </c>
      <c r="J136" s="53" t="s">
        <v>243</v>
      </c>
    </row>
    <row r="137" spans="1:10" ht="20.100000000000001" customHeight="1">
      <c r="A137" s="54" t="s">
        <v>153</v>
      </c>
      <c r="B137" s="27">
        <v>10040</v>
      </c>
      <c r="C137" s="37"/>
      <c r="D137" s="37"/>
      <c r="E137" s="37"/>
      <c r="F137" s="37"/>
      <c r="G137" s="13" t="s">
        <v>243</v>
      </c>
      <c r="H137" s="13" t="s">
        <v>243</v>
      </c>
      <c r="I137" s="53" t="s">
        <v>243</v>
      </c>
      <c r="J137" s="53" t="s">
        <v>243</v>
      </c>
    </row>
    <row r="138" spans="1:10" s="68" customFormat="1" ht="20.100000000000001" customHeight="1">
      <c r="A138" s="55" t="s">
        <v>154</v>
      </c>
      <c r="B138" s="27">
        <v>10050</v>
      </c>
      <c r="C138" s="39">
        <f>SUM(C136:C137)</f>
        <v>0</v>
      </c>
      <c r="D138" s="39">
        <f>SUM(D136:D137)</f>
        <v>0</v>
      </c>
      <c r="E138" s="39">
        <f>SUM(E136:E137)</f>
        <v>0</v>
      </c>
      <c r="F138" s="39">
        <f>SUM(F136:F137)</f>
        <v>0</v>
      </c>
      <c r="G138" s="13" t="s">
        <v>243</v>
      </c>
      <c r="H138" s="13" t="s">
        <v>243</v>
      </c>
      <c r="I138" s="53" t="s">
        <v>243</v>
      </c>
      <c r="J138" s="53" t="s">
        <v>243</v>
      </c>
    </row>
    <row r="139" spans="1:10" ht="20.100000000000001" customHeight="1">
      <c r="A139" s="54" t="s">
        <v>155</v>
      </c>
      <c r="B139" s="27">
        <v>10060</v>
      </c>
      <c r="C139" s="37"/>
      <c r="D139" s="37"/>
      <c r="E139" s="37"/>
      <c r="F139" s="37"/>
      <c r="G139" s="13" t="s">
        <v>243</v>
      </c>
      <c r="H139" s="13" t="s">
        <v>243</v>
      </c>
      <c r="I139" s="53" t="s">
        <v>243</v>
      </c>
      <c r="J139" s="53" t="s">
        <v>243</v>
      </c>
    </row>
    <row r="140" spans="1:10" ht="20.100000000000001" customHeight="1">
      <c r="A140" s="54" t="s">
        <v>156</v>
      </c>
      <c r="B140" s="27">
        <v>10070</v>
      </c>
      <c r="C140" s="37"/>
      <c r="D140" s="37"/>
      <c r="E140" s="37"/>
      <c r="F140" s="37"/>
      <c r="G140" s="13" t="s">
        <v>243</v>
      </c>
      <c r="H140" s="13" t="s">
        <v>243</v>
      </c>
      <c r="I140" s="53" t="s">
        <v>243</v>
      </c>
      <c r="J140" s="53" t="s">
        <v>243</v>
      </c>
    </row>
    <row r="141" spans="1:10" s="68" customFormat="1" ht="20.100000000000001" customHeight="1">
      <c r="A141" s="55" t="s">
        <v>157</v>
      </c>
      <c r="B141" s="27">
        <v>10080</v>
      </c>
      <c r="C141" s="37"/>
      <c r="D141" s="37"/>
      <c r="E141" s="37"/>
      <c r="F141" s="37">
        <f>F135</f>
        <v>3263</v>
      </c>
      <c r="G141" s="13" t="s">
        <v>243</v>
      </c>
      <c r="H141" s="13" t="s">
        <v>243</v>
      </c>
      <c r="I141" s="53" t="s">
        <v>243</v>
      </c>
      <c r="J141" s="53" t="s">
        <v>243</v>
      </c>
    </row>
    <row r="142" spans="1:10" s="68" customFormat="1" ht="20.100000000000001" customHeight="1">
      <c r="A142" s="391" t="s">
        <v>246</v>
      </c>
      <c r="B142" s="391"/>
      <c r="C142" s="391"/>
      <c r="D142" s="391"/>
      <c r="E142" s="391"/>
      <c r="F142" s="391"/>
      <c r="G142" s="391"/>
      <c r="H142" s="391"/>
      <c r="I142" s="391"/>
      <c r="J142" s="391"/>
    </row>
    <row r="143" spans="1:10" s="68" customFormat="1" ht="20.100000000000001" customHeight="1">
      <c r="A143" s="69" t="s">
        <v>159</v>
      </c>
      <c r="B143" s="70" t="s">
        <v>160</v>
      </c>
      <c r="C143" s="39">
        <f>SUM(C144:C146)</f>
        <v>0</v>
      </c>
      <c r="D143" s="39">
        <f>SUM(D144:D146)</f>
        <v>0</v>
      </c>
      <c r="E143" s="39">
        <f>SUM(E144:E146)</f>
        <v>0</v>
      </c>
      <c r="F143" s="39"/>
      <c r="G143" s="13"/>
      <c r="H143" s="13"/>
      <c r="I143" s="53"/>
      <c r="J143" s="53"/>
    </row>
    <row r="144" spans="1:10" s="68" customFormat="1" ht="20.100000000000001" customHeight="1">
      <c r="A144" s="54" t="s">
        <v>161</v>
      </c>
      <c r="B144" s="71" t="s">
        <v>162</v>
      </c>
      <c r="C144" s="37"/>
      <c r="D144" s="37"/>
      <c r="E144" s="37"/>
      <c r="F144" s="37"/>
      <c r="G144" s="13"/>
      <c r="H144" s="13"/>
      <c r="I144" s="53"/>
      <c r="J144" s="53"/>
    </row>
    <row r="145" spans="1:10" s="68" customFormat="1" ht="20.100000000000001" customHeight="1">
      <c r="A145" s="54" t="s">
        <v>163</v>
      </c>
      <c r="B145" s="71" t="s">
        <v>164</v>
      </c>
      <c r="C145" s="37"/>
      <c r="D145" s="37"/>
      <c r="E145" s="37"/>
      <c r="F145" s="37"/>
      <c r="G145" s="13"/>
      <c r="H145" s="13"/>
      <c r="I145" s="53"/>
      <c r="J145" s="53"/>
    </row>
    <row r="146" spans="1:10" s="68" customFormat="1" ht="20.100000000000001" customHeight="1">
      <c r="A146" s="54" t="s">
        <v>165</v>
      </c>
      <c r="B146" s="71" t="s">
        <v>166</v>
      </c>
      <c r="C146" s="37"/>
      <c r="D146" s="37"/>
      <c r="E146" s="37"/>
      <c r="F146" s="37"/>
      <c r="G146" s="13"/>
      <c r="H146" s="13"/>
      <c r="I146" s="53"/>
      <c r="J146" s="53"/>
    </row>
    <row r="147" spans="1:10" s="68" customFormat="1" ht="20.100000000000001" customHeight="1">
      <c r="A147" s="55" t="s">
        <v>167</v>
      </c>
      <c r="B147" s="71" t="s">
        <v>168</v>
      </c>
      <c r="C147" s="39">
        <f>SUM(C148:C150)</f>
        <v>0</v>
      </c>
      <c r="D147" s="39">
        <f>SUM(D148:D150)</f>
        <v>0</v>
      </c>
      <c r="E147" s="39">
        <f>SUM(E148:E150)</f>
        <v>0</v>
      </c>
      <c r="F147" s="39"/>
      <c r="G147" s="13"/>
      <c r="H147" s="13"/>
      <c r="I147" s="53"/>
      <c r="J147" s="53"/>
    </row>
    <row r="148" spans="1:10" s="68" customFormat="1" ht="20.100000000000001" customHeight="1">
      <c r="A148" s="54" t="s">
        <v>161</v>
      </c>
      <c r="B148" s="71" t="s">
        <v>169</v>
      </c>
      <c r="C148" s="37"/>
      <c r="D148" s="37"/>
      <c r="E148" s="37"/>
      <c r="F148" s="37"/>
      <c r="G148" s="13"/>
      <c r="H148" s="13"/>
      <c r="I148" s="53"/>
      <c r="J148" s="53"/>
    </row>
    <row r="149" spans="1:10" s="68" customFormat="1" ht="19.5" customHeight="1">
      <c r="A149" s="54" t="s">
        <v>163</v>
      </c>
      <c r="B149" s="71" t="s">
        <v>170</v>
      </c>
      <c r="C149" s="37"/>
      <c r="D149" s="37"/>
      <c r="E149" s="37"/>
      <c r="F149" s="37"/>
      <c r="G149" s="13"/>
      <c r="H149" s="13"/>
      <c r="I149" s="53"/>
      <c r="J149" s="53"/>
    </row>
    <row r="150" spans="1:10" ht="19.5" customHeight="1">
      <c r="A150" s="65" t="s">
        <v>165</v>
      </c>
      <c r="B150" s="72" t="s">
        <v>171</v>
      </c>
      <c r="C150" s="37"/>
      <c r="D150" s="37"/>
      <c r="E150" s="37"/>
      <c r="F150" s="37"/>
      <c r="G150" s="13"/>
      <c r="H150" s="13"/>
      <c r="I150" s="53"/>
      <c r="J150" s="53"/>
    </row>
    <row r="151" spans="1:10">
      <c r="A151" s="391" t="s">
        <v>172</v>
      </c>
      <c r="B151" s="391"/>
      <c r="C151" s="391"/>
      <c r="D151" s="391"/>
      <c r="E151" s="391"/>
      <c r="F151" s="391"/>
      <c r="G151" s="391"/>
      <c r="H151" s="391"/>
      <c r="I151" s="391"/>
      <c r="J151" s="391"/>
    </row>
    <row r="152" spans="1:10" s="18" customFormat="1" ht="56.25">
      <c r="A152" s="55" t="s">
        <v>173</v>
      </c>
      <c r="B152" s="71" t="s">
        <v>174</v>
      </c>
      <c r="C152" s="39">
        <f t="shared" ref="C152:J152" si="20">C153+C154+C155+C156+C157+C158</f>
        <v>0</v>
      </c>
      <c r="D152" s="39">
        <f t="shared" si="20"/>
        <v>156</v>
      </c>
      <c r="E152" s="39">
        <f t="shared" si="20"/>
        <v>156</v>
      </c>
      <c r="F152" s="56">
        <f>F153+F154+F155+F156+F157+F158</f>
        <v>120</v>
      </c>
      <c r="G152" s="11">
        <f>G153+G154+G155+G156+G157+G158</f>
        <v>120</v>
      </c>
      <c r="H152" s="11">
        <f t="shared" si="20"/>
        <v>120</v>
      </c>
      <c r="I152" s="56">
        <f t="shared" si="20"/>
        <v>120</v>
      </c>
      <c r="J152" s="56">
        <f t="shared" si="20"/>
        <v>120</v>
      </c>
    </row>
    <row r="153" spans="1:10" s="18" customFormat="1">
      <c r="A153" s="51" t="s">
        <v>175</v>
      </c>
      <c r="B153" s="71" t="s">
        <v>176</v>
      </c>
      <c r="C153" s="37"/>
      <c r="D153" s="40">
        <v>1</v>
      </c>
      <c r="E153" s="40">
        <v>1</v>
      </c>
      <c r="F153" s="40">
        <f t="shared" ref="F153:F158" si="21">(G153+H153+I153+J153)/4</f>
        <v>1</v>
      </c>
      <c r="G153" s="40">
        <v>1</v>
      </c>
      <c r="H153" s="40">
        <v>1</v>
      </c>
      <c r="I153" s="40">
        <v>1</v>
      </c>
      <c r="J153" s="40">
        <v>1</v>
      </c>
    </row>
    <row r="154" spans="1:10" s="18" customFormat="1">
      <c r="A154" s="51" t="s">
        <v>177</v>
      </c>
      <c r="B154" s="71" t="s">
        <v>178</v>
      </c>
      <c r="C154" s="37"/>
      <c r="D154" s="40">
        <v>11</v>
      </c>
      <c r="E154" s="40">
        <f>D154</f>
        <v>11</v>
      </c>
      <c r="F154" s="40">
        <f t="shared" si="21"/>
        <v>5</v>
      </c>
      <c r="G154" s="40">
        <v>5</v>
      </c>
      <c r="H154" s="40">
        <v>5</v>
      </c>
      <c r="I154" s="40">
        <v>5</v>
      </c>
      <c r="J154" s="40">
        <v>5</v>
      </c>
    </row>
    <row r="155" spans="1:10" s="18" customFormat="1">
      <c r="A155" s="51" t="s">
        <v>179</v>
      </c>
      <c r="B155" s="71" t="s">
        <v>180</v>
      </c>
      <c r="C155" s="37"/>
      <c r="D155" s="40">
        <v>46</v>
      </c>
      <c r="E155" s="40">
        <f>D155</f>
        <v>46</v>
      </c>
      <c r="F155" s="40">
        <f t="shared" si="21"/>
        <v>36</v>
      </c>
      <c r="G155" s="40">
        <v>36</v>
      </c>
      <c r="H155" s="40">
        <v>36</v>
      </c>
      <c r="I155" s="40">
        <v>36</v>
      </c>
      <c r="J155" s="40">
        <v>36</v>
      </c>
    </row>
    <row r="156" spans="1:10" s="18" customFormat="1">
      <c r="A156" s="51" t="s">
        <v>181</v>
      </c>
      <c r="B156" s="71" t="s">
        <v>182</v>
      </c>
      <c r="C156" s="37"/>
      <c r="D156" s="40">
        <v>52</v>
      </c>
      <c r="E156" s="40">
        <f>D156</f>
        <v>52</v>
      </c>
      <c r="F156" s="40">
        <f t="shared" si="21"/>
        <v>35</v>
      </c>
      <c r="G156" s="40">
        <v>35</v>
      </c>
      <c r="H156" s="40">
        <v>35</v>
      </c>
      <c r="I156" s="40">
        <v>35</v>
      </c>
      <c r="J156" s="40">
        <v>35</v>
      </c>
    </row>
    <row r="157" spans="1:10" s="18" customFormat="1">
      <c r="A157" s="51" t="s">
        <v>183</v>
      </c>
      <c r="B157" s="71" t="s">
        <v>184</v>
      </c>
      <c r="C157" s="37"/>
      <c r="D157" s="40">
        <v>25</v>
      </c>
      <c r="E157" s="40">
        <f>D157</f>
        <v>25</v>
      </c>
      <c r="F157" s="40">
        <f t="shared" si="21"/>
        <v>22</v>
      </c>
      <c r="G157" s="40">
        <v>22</v>
      </c>
      <c r="H157" s="40">
        <v>22</v>
      </c>
      <c r="I157" s="40">
        <v>22</v>
      </c>
      <c r="J157" s="40">
        <v>22</v>
      </c>
    </row>
    <row r="158" spans="1:10" s="18" customFormat="1">
      <c r="A158" s="51" t="s">
        <v>185</v>
      </c>
      <c r="B158" s="71" t="s">
        <v>186</v>
      </c>
      <c r="C158" s="37"/>
      <c r="D158" s="40">
        <v>21</v>
      </c>
      <c r="E158" s="40">
        <f>D158</f>
        <v>21</v>
      </c>
      <c r="F158" s="40">
        <f t="shared" si="21"/>
        <v>21</v>
      </c>
      <c r="G158" s="210">
        <v>21</v>
      </c>
      <c r="H158" s="210">
        <v>21</v>
      </c>
      <c r="I158" s="210">
        <v>21</v>
      </c>
      <c r="J158" s="210">
        <v>21</v>
      </c>
    </row>
    <row r="159" spans="1:10" s="18" customFormat="1">
      <c r="A159" s="73" t="s">
        <v>187</v>
      </c>
      <c r="B159" s="71" t="s">
        <v>188</v>
      </c>
      <c r="C159" s="37">
        <f t="shared" ref="C159:J159" si="22">C160+C161+C162+C164+C163+C165</f>
        <v>0</v>
      </c>
      <c r="D159" s="38">
        <f t="shared" si="22"/>
        <v>19328.12</v>
      </c>
      <c r="E159" s="38">
        <f t="shared" si="22"/>
        <v>19328.12</v>
      </c>
      <c r="F159" s="56">
        <f t="shared" si="22"/>
        <v>24979.573199999999</v>
      </c>
      <c r="G159" s="11">
        <f t="shared" si="22"/>
        <v>6244.8932999999997</v>
      </c>
      <c r="H159" s="11">
        <f t="shared" si="22"/>
        <v>6244.8932999999997</v>
      </c>
      <c r="I159" s="56">
        <f t="shared" si="22"/>
        <v>6244.8932999999997</v>
      </c>
      <c r="J159" s="56">
        <f t="shared" si="22"/>
        <v>6244.8932999999997</v>
      </c>
    </row>
    <row r="160" spans="1:10" s="18" customFormat="1">
      <c r="A160" s="51" t="s">
        <v>175</v>
      </c>
      <c r="B160" s="71" t="s">
        <v>189</v>
      </c>
      <c r="C160" s="96"/>
      <c r="D160" s="96">
        <f>D167*1.22</f>
        <v>666.12</v>
      </c>
      <c r="E160" s="96">
        <f>E167*1.22</f>
        <v>666.12</v>
      </c>
      <c r="F160" s="96">
        <f t="shared" ref="F160:F165" si="23">SUM(G160:J160)</f>
        <v>747.29879999999991</v>
      </c>
      <c r="G160" s="96">
        <f>G167*1.22</f>
        <v>186.82469999999998</v>
      </c>
      <c r="H160" s="96">
        <f>H167*1.22</f>
        <v>186.82469999999998</v>
      </c>
      <c r="I160" s="96">
        <f>I167*1.22</f>
        <v>186.82469999999998</v>
      </c>
      <c r="J160" s="96">
        <f>J167*1.22</f>
        <v>186.82469999999998</v>
      </c>
    </row>
    <row r="161" spans="1:11" s="18" customFormat="1">
      <c r="A161" s="51" t="s">
        <v>177</v>
      </c>
      <c r="B161" s="71" t="s">
        <v>190</v>
      </c>
      <c r="C161" s="96"/>
      <c r="D161" s="40">
        <v>1314</v>
      </c>
      <c r="E161" s="40">
        <v>1314</v>
      </c>
      <c r="F161" s="96">
        <f t="shared" si="23"/>
        <v>1300.7640000000001</v>
      </c>
      <c r="G161" s="96">
        <f t="shared" ref="G161:J165" si="24">G168*1.22</f>
        <v>325.19100000000003</v>
      </c>
      <c r="H161" s="96">
        <f t="shared" si="24"/>
        <v>325.19100000000003</v>
      </c>
      <c r="I161" s="96">
        <f t="shared" si="24"/>
        <v>325.19100000000003</v>
      </c>
      <c r="J161" s="96">
        <f t="shared" si="24"/>
        <v>325.19100000000003</v>
      </c>
    </row>
    <row r="162" spans="1:11" s="18" customFormat="1">
      <c r="A162" s="51" t="s">
        <v>179</v>
      </c>
      <c r="B162" s="71" t="s">
        <v>191</v>
      </c>
      <c r="C162" s="96"/>
      <c r="D162" s="40">
        <v>6824</v>
      </c>
      <c r="E162" s="40">
        <v>6824</v>
      </c>
      <c r="F162" s="96">
        <f t="shared" si="23"/>
        <v>10540.8</v>
      </c>
      <c r="G162" s="96">
        <f t="shared" si="24"/>
        <v>2635.2</v>
      </c>
      <c r="H162" s="96">
        <f t="shared" si="24"/>
        <v>2635.2</v>
      </c>
      <c r="I162" s="96">
        <f t="shared" si="24"/>
        <v>2635.2</v>
      </c>
      <c r="J162" s="96">
        <f t="shared" si="24"/>
        <v>2635.2</v>
      </c>
    </row>
    <row r="163" spans="1:11" s="18" customFormat="1">
      <c r="A163" s="51" t="s">
        <v>181</v>
      </c>
      <c r="B163" s="71" t="s">
        <v>192</v>
      </c>
      <c r="C163" s="96"/>
      <c r="D163" s="40">
        <v>5594</v>
      </c>
      <c r="E163" s="40">
        <v>5594</v>
      </c>
      <c r="F163" s="96">
        <f t="shared" si="23"/>
        <v>6917.4</v>
      </c>
      <c r="G163" s="96">
        <f t="shared" si="24"/>
        <v>1729.35</v>
      </c>
      <c r="H163" s="96">
        <f t="shared" si="24"/>
        <v>1729.35</v>
      </c>
      <c r="I163" s="96">
        <f t="shared" si="24"/>
        <v>1729.35</v>
      </c>
      <c r="J163" s="96">
        <f t="shared" si="24"/>
        <v>1729.35</v>
      </c>
    </row>
    <row r="164" spans="1:11" s="18" customFormat="1">
      <c r="A164" s="51" t="s">
        <v>183</v>
      </c>
      <c r="B164" s="71" t="s">
        <v>193</v>
      </c>
      <c r="C164" s="96"/>
      <c r="D164" s="40">
        <v>2424</v>
      </c>
      <c r="E164" s="40">
        <v>2424</v>
      </c>
      <c r="F164" s="96">
        <f t="shared" si="23"/>
        <v>2589.5232000000001</v>
      </c>
      <c r="G164" s="96">
        <f t="shared" si="24"/>
        <v>647.38080000000002</v>
      </c>
      <c r="H164" s="96">
        <f t="shared" si="24"/>
        <v>647.38080000000002</v>
      </c>
      <c r="I164" s="96">
        <f t="shared" si="24"/>
        <v>647.38080000000002</v>
      </c>
      <c r="J164" s="96">
        <f t="shared" si="24"/>
        <v>647.38080000000002</v>
      </c>
    </row>
    <row r="165" spans="1:11" s="18" customFormat="1">
      <c r="A165" s="51" t="s">
        <v>185</v>
      </c>
      <c r="B165" s="71" t="s">
        <v>194</v>
      </c>
      <c r="C165" s="96"/>
      <c r="D165" s="40">
        <v>2506</v>
      </c>
      <c r="E165" s="40">
        <v>2506</v>
      </c>
      <c r="F165" s="96">
        <f t="shared" si="23"/>
        <v>2883.7872000000002</v>
      </c>
      <c r="G165" s="96">
        <f t="shared" si="24"/>
        <v>720.94680000000005</v>
      </c>
      <c r="H165" s="96">
        <f t="shared" si="24"/>
        <v>720.94680000000005</v>
      </c>
      <c r="I165" s="96">
        <f t="shared" si="24"/>
        <v>720.94680000000005</v>
      </c>
      <c r="J165" s="96">
        <f t="shared" si="24"/>
        <v>720.94680000000005</v>
      </c>
    </row>
    <row r="166" spans="1:11" s="18" customFormat="1">
      <c r="A166" s="55" t="s">
        <v>195</v>
      </c>
      <c r="B166" s="71" t="s">
        <v>196</v>
      </c>
      <c r="C166" s="39">
        <f t="shared" ref="C166:J166" si="25">C167+C168+C169+C170+C171+C172</f>
        <v>0</v>
      </c>
      <c r="D166" s="38">
        <f t="shared" si="25"/>
        <v>16675</v>
      </c>
      <c r="E166" s="38">
        <f t="shared" si="25"/>
        <v>16675</v>
      </c>
      <c r="F166" s="56">
        <f t="shared" si="25"/>
        <v>23767.68</v>
      </c>
      <c r="G166" s="11">
        <f>G167+G168+G169+G170+G171+G172</f>
        <v>5118.7649999999994</v>
      </c>
      <c r="H166" s="11">
        <f t="shared" si="25"/>
        <v>5118.7649999999994</v>
      </c>
      <c r="I166" s="56">
        <f t="shared" si="25"/>
        <v>5118.7649999999994</v>
      </c>
      <c r="J166" s="56">
        <f t="shared" si="25"/>
        <v>5118.7649999999994</v>
      </c>
      <c r="K166" s="103"/>
    </row>
    <row r="167" spans="1:11" s="18" customFormat="1">
      <c r="A167" s="51" t="s">
        <v>175</v>
      </c>
      <c r="B167" s="71" t="s">
        <v>197</v>
      </c>
      <c r="C167" s="209"/>
      <c r="D167" s="212">
        <v>546</v>
      </c>
      <c r="E167" s="212">
        <v>546</v>
      </c>
      <c r="F167" s="213">
        <v>600</v>
      </c>
      <c r="G167" s="214">
        <f>G174*3/1000*G153</f>
        <v>153.13499999999999</v>
      </c>
      <c r="H167" s="214">
        <f>H174*3/1000*H153</f>
        <v>153.13499999999999</v>
      </c>
      <c r="I167" s="214">
        <f>I174*3/1000*I153</f>
        <v>153.13499999999999</v>
      </c>
      <c r="J167" s="214">
        <f>J174*3/1000*J153</f>
        <v>153.13499999999999</v>
      </c>
    </row>
    <row r="168" spans="1:11" s="18" customFormat="1">
      <c r="A168" s="51" t="s">
        <v>177</v>
      </c>
      <c r="B168" s="71" t="s">
        <v>198</v>
      </c>
      <c r="C168" s="209"/>
      <c r="D168" s="212">
        <v>1202</v>
      </c>
      <c r="E168" s="212">
        <v>1202</v>
      </c>
      <c r="F168" s="213">
        <v>1366.8000000000002</v>
      </c>
      <c r="G168" s="214">
        <f t="shared" ref="G168:J172" si="26">G175*3/1000*G154</f>
        <v>266.55</v>
      </c>
      <c r="H168" s="214">
        <f t="shared" si="26"/>
        <v>266.55</v>
      </c>
      <c r="I168" s="214">
        <f t="shared" si="26"/>
        <v>266.55</v>
      </c>
      <c r="J168" s="214">
        <f t="shared" si="26"/>
        <v>266.55</v>
      </c>
    </row>
    <row r="169" spans="1:11" s="18" customFormat="1">
      <c r="A169" s="51" t="s">
        <v>179</v>
      </c>
      <c r="B169" s="71" t="s">
        <v>199</v>
      </c>
      <c r="C169" s="209"/>
      <c r="D169" s="212">
        <v>6053</v>
      </c>
      <c r="E169" s="212">
        <v>6053</v>
      </c>
      <c r="F169" s="213">
        <v>10800</v>
      </c>
      <c r="G169" s="214">
        <f t="shared" si="26"/>
        <v>2160</v>
      </c>
      <c r="H169" s="214">
        <f t="shared" si="26"/>
        <v>2160</v>
      </c>
      <c r="I169" s="214">
        <f t="shared" si="26"/>
        <v>2160</v>
      </c>
      <c r="J169" s="214">
        <f t="shared" si="26"/>
        <v>2160</v>
      </c>
    </row>
    <row r="170" spans="1:11" s="18" customFormat="1">
      <c r="A170" s="51" t="s">
        <v>181</v>
      </c>
      <c r="B170" s="71" t="s">
        <v>200</v>
      </c>
      <c r="C170" s="209"/>
      <c r="D170" s="212">
        <v>4809</v>
      </c>
      <c r="E170" s="212">
        <v>4809</v>
      </c>
      <c r="F170" s="213">
        <v>6804</v>
      </c>
      <c r="G170" s="214">
        <f t="shared" si="26"/>
        <v>1417.5</v>
      </c>
      <c r="H170" s="214">
        <f t="shared" si="26"/>
        <v>1417.5</v>
      </c>
      <c r="I170" s="214">
        <f t="shared" si="26"/>
        <v>1417.5</v>
      </c>
      <c r="J170" s="214">
        <f t="shared" si="26"/>
        <v>1417.5</v>
      </c>
    </row>
    <row r="171" spans="1:11" s="18" customFormat="1">
      <c r="A171" s="51" t="s">
        <v>183</v>
      </c>
      <c r="B171" s="71" t="s">
        <v>201</v>
      </c>
      <c r="C171" s="209"/>
      <c r="D171" s="212">
        <v>2212</v>
      </c>
      <c r="E171" s="212">
        <v>2212</v>
      </c>
      <c r="F171" s="213">
        <v>1945.6800000000005</v>
      </c>
      <c r="G171" s="214">
        <f t="shared" si="26"/>
        <v>530.64</v>
      </c>
      <c r="H171" s="214">
        <f t="shared" si="26"/>
        <v>530.64</v>
      </c>
      <c r="I171" s="214">
        <f t="shared" si="26"/>
        <v>530.64</v>
      </c>
      <c r="J171" s="214">
        <f t="shared" si="26"/>
        <v>530.64</v>
      </c>
    </row>
    <row r="172" spans="1:11" s="18" customFormat="1">
      <c r="A172" s="51" t="s">
        <v>185</v>
      </c>
      <c r="B172" s="71" t="s">
        <v>202</v>
      </c>
      <c r="C172" s="209"/>
      <c r="D172" s="212">
        <v>1853</v>
      </c>
      <c r="E172" s="212">
        <v>1853</v>
      </c>
      <c r="F172" s="213">
        <v>2251.1999999999998</v>
      </c>
      <c r="G172" s="214">
        <f t="shared" si="26"/>
        <v>590.94000000000005</v>
      </c>
      <c r="H172" s="214">
        <f t="shared" si="26"/>
        <v>590.94000000000005</v>
      </c>
      <c r="I172" s="214">
        <f t="shared" si="26"/>
        <v>590.94000000000005</v>
      </c>
      <c r="J172" s="214">
        <f t="shared" si="26"/>
        <v>590.94000000000005</v>
      </c>
    </row>
    <row r="173" spans="1:11" s="18" customFormat="1" ht="37.5">
      <c r="A173" s="55" t="s">
        <v>247</v>
      </c>
      <c r="B173" s="71" t="s">
        <v>204</v>
      </c>
      <c r="C173" s="74"/>
      <c r="D173" s="74">
        <f>D166/D152/12*1000</f>
        <v>8907.5854700854707</v>
      </c>
      <c r="E173" s="74">
        <f>E166/E152/12*1000</f>
        <v>8907.5854700854707</v>
      </c>
      <c r="F173" s="75">
        <f>F166/F152/12*1000</f>
        <v>16505.333333333332</v>
      </c>
      <c r="G173" s="14">
        <f>G166/G152/3*1000</f>
        <v>14218.791666666666</v>
      </c>
      <c r="H173" s="14">
        <f>H166/H152/3*1000</f>
        <v>14218.791666666666</v>
      </c>
      <c r="I173" s="75">
        <f>I166/I152/3*1000</f>
        <v>14218.791666666666</v>
      </c>
      <c r="J173" s="75">
        <f>J166/J152/3*1000</f>
        <v>14218.791666666666</v>
      </c>
    </row>
    <row r="174" spans="1:11" s="18" customFormat="1">
      <c r="A174" s="51" t="s">
        <v>175</v>
      </c>
      <c r="B174" s="71" t="s">
        <v>205</v>
      </c>
      <c r="C174" s="211"/>
      <c r="D174" s="76">
        <v>45500</v>
      </c>
      <c r="E174" s="76">
        <v>45500</v>
      </c>
      <c r="F174" s="319">
        <f t="shared" ref="F174:F179" si="27">F167/12*1000</f>
        <v>50000</v>
      </c>
      <c r="G174" s="98">
        <v>51045</v>
      </c>
      <c r="H174" s="98">
        <v>51045</v>
      </c>
      <c r="I174" s="77">
        <v>51045</v>
      </c>
      <c r="J174" s="77">
        <v>51045</v>
      </c>
    </row>
    <row r="175" spans="1:11" s="18" customFormat="1">
      <c r="A175" s="51" t="s">
        <v>177</v>
      </c>
      <c r="B175" s="71" t="s">
        <v>206</v>
      </c>
      <c r="C175" s="211"/>
      <c r="D175" s="76">
        <v>9106.060606060606</v>
      </c>
      <c r="E175" s="76">
        <v>9106.060606060606</v>
      </c>
      <c r="F175" s="319">
        <f t="shared" si="27"/>
        <v>113900.00000000001</v>
      </c>
      <c r="G175" s="98">
        <v>17770</v>
      </c>
      <c r="H175" s="98">
        <v>17770</v>
      </c>
      <c r="I175" s="77">
        <v>17770</v>
      </c>
      <c r="J175" s="77">
        <v>17770</v>
      </c>
    </row>
    <row r="176" spans="1:11" s="18" customFormat="1">
      <c r="A176" s="51" t="s">
        <v>179</v>
      </c>
      <c r="B176" s="71" t="s">
        <v>207</v>
      </c>
      <c r="C176" s="211"/>
      <c r="D176" s="76">
        <v>10965.579710144928</v>
      </c>
      <c r="E176" s="76">
        <v>10965.579710144928</v>
      </c>
      <c r="F176" s="319">
        <f t="shared" si="27"/>
        <v>900000</v>
      </c>
      <c r="G176" s="98">
        <v>20000</v>
      </c>
      <c r="H176" s="98">
        <v>20000</v>
      </c>
      <c r="I176" s="77">
        <v>20000</v>
      </c>
      <c r="J176" s="77">
        <v>20000</v>
      </c>
    </row>
    <row r="177" spans="1:10" s="18" customFormat="1">
      <c r="A177" s="51" t="s">
        <v>181</v>
      </c>
      <c r="B177" s="71" t="s">
        <v>208</v>
      </c>
      <c r="C177" s="211"/>
      <c r="D177" s="76">
        <v>7706.7307692307695</v>
      </c>
      <c r="E177" s="76">
        <v>7706.7307692307695</v>
      </c>
      <c r="F177" s="319">
        <f t="shared" si="27"/>
        <v>567000</v>
      </c>
      <c r="G177" s="98">
        <v>13500</v>
      </c>
      <c r="H177" s="98">
        <v>13500</v>
      </c>
      <c r="I177" s="77">
        <v>13500</v>
      </c>
      <c r="J177" s="77">
        <v>13500</v>
      </c>
    </row>
    <row r="178" spans="1:10" s="18" customFormat="1">
      <c r="A178" s="51" t="s">
        <v>183</v>
      </c>
      <c r="B178" s="71" t="s">
        <v>209</v>
      </c>
      <c r="C178" s="78"/>
      <c r="D178" s="76">
        <v>7373.3333333333339</v>
      </c>
      <c r="E178" s="76">
        <v>7373.3333333333339</v>
      </c>
      <c r="F178" s="319">
        <f t="shared" si="27"/>
        <v>162140.00000000003</v>
      </c>
      <c r="G178" s="98">
        <v>8040</v>
      </c>
      <c r="H178" s="98">
        <v>8040</v>
      </c>
      <c r="I178" s="77">
        <v>8040</v>
      </c>
      <c r="J178" s="77">
        <v>8040</v>
      </c>
    </row>
    <row r="179" spans="1:10" s="18" customFormat="1">
      <c r="A179" s="51" t="s">
        <v>185</v>
      </c>
      <c r="B179" s="71" t="s">
        <v>210</v>
      </c>
      <c r="C179" s="78"/>
      <c r="D179" s="76">
        <v>7353.1746031746034</v>
      </c>
      <c r="E179" s="76">
        <v>7353.1746031746034</v>
      </c>
      <c r="F179" s="319">
        <f t="shared" si="27"/>
        <v>187600</v>
      </c>
      <c r="G179" s="98">
        <v>9380</v>
      </c>
      <c r="H179" s="98">
        <v>9380</v>
      </c>
      <c r="I179" s="77">
        <v>9380</v>
      </c>
      <c r="J179" s="77">
        <v>9380</v>
      </c>
    </row>
    <row r="180" spans="1:10" s="18" customFormat="1" ht="37.5">
      <c r="A180" s="51" t="s">
        <v>211</v>
      </c>
      <c r="B180" s="71" t="s">
        <v>212</v>
      </c>
      <c r="C180" s="78"/>
      <c r="D180" s="76"/>
      <c r="E180" s="78"/>
      <c r="F180" s="78"/>
      <c r="G180" s="13"/>
      <c r="H180" s="13"/>
      <c r="I180" s="53"/>
      <c r="J180" s="53"/>
    </row>
    <row r="181" spans="1:10" s="18" customFormat="1">
      <c r="A181" s="79"/>
      <c r="C181" s="80"/>
      <c r="D181" s="81"/>
      <c r="E181" s="81"/>
      <c r="F181" s="81"/>
      <c r="G181" s="99"/>
      <c r="H181" s="99"/>
      <c r="I181" s="82"/>
      <c r="J181" s="82"/>
    </row>
    <row r="182" spans="1:10" s="18" customFormat="1">
      <c r="A182" s="79"/>
      <c r="C182" s="80"/>
      <c r="D182" s="81"/>
      <c r="E182" s="81"/>
      <c r="F182" s="81"/>
      <c r="G182" s="99"/>
      <c r="H182" s="99"/>
      <c r="I182" s="82"/>
      <c r="J182" s="82"/>
    </row>
    <row r="183" spans="1:10" s="18" customFormat="1" ht="18.75" customHeight="1">
      <c r="A183" s="83" t="s">
        <v>248</v>
      </c>
      <c r="C183" s="396" t="s">
        <v>213</v>
      </c>
      <c r="D183" s="396"/>
      <c r="E183" s="396"/>
      <c r="F183" s="396"/>
      <c r="G183" s="100"/>
      <c r="H183" s="397" t="s">
        <v>249</v>
      </c>
      <c r="I183" s="397"/>
      <c r="J183" s="397"/>
    </row>
    <row r="184" spans="1:10" s="18" customFormat="1">
      <c r="B184" s="16"/>
      <c r="C184" s="385" t="s">
        <v>214</v>
      </c>
      <c r="D184" s="385"/>
      <c r="E184" s="385"/>
      <c r="F184" s="385"/>
      <c r="G184" s="6"/>
      <c r="H184" s="385" t="s">
        <v>215</v>
      </c>
      <c r="I184" s="385"/>
      <c r="J184" s="385"/>
    </row>
    <row r="185" spans="1:10" s="18" customFormat="1">
      <c r="A185" s="61"/>
      <c r="F185" s="16"/>
      <c r="G185" s="15"/>
      <c r="H185" s="15"/>
      <c r="I185" s="16"/>
      <c r="J185" s="16"/>
    </row>
    <row r="186" spans="1:10" s="18" customFormat="1">
      <c r="A186" s="61"/>
      <c r="F186" s="16"/>
      <c r="G186" s="15"/>
      <c r="H186" s="15"/>
      <c r="I186" s="16"/>
      <c r="J186" s="16"/>
    </row>
    <row r="187" spans="1:10" s="18" customFormat="1">
      <c r="A187" s="61"/>
      <c r="F187" s="16"/>
      <c r="G187" s="15"/>
      <c r="H187" s="15"/>
      <c r="I187" s="16"/>
      <c r="J187" s="16"/>
    </row>
    <row r="188" spans="1:10" s="18" customFormat="1">
      <c r="A188" s="61"/>
      <c r="F188" s="16"/>
      <c r="G188" s="15"/>
      <c r="H188" s="15"/>
      <c r="I188" s="16"/>
      <c r="J188" s="16"/>
    </row>
    <row r="189" spans="1:10" s="18" customFormat="1">
      <c r="A189" s="61"/>
      <c r="F189" s="16"/>
      <c r="G189" s="15"/>
      <c r="H189" s="15"/>
      <c r="I189" s="16"/>
      <c r="J189" s="16"/>
    </row>
    <row r="190" spans="1:10" s="18" customFormat="1">
      <c r="A190" s="61"/>
      <c r="F190" s="16"/>
      <c r="G190" s="15"/>
      <c r="H190" s="15"/>
      <c r="I190" s="16"/>
      <c r="J190" s="16"/>
    </row>
    <row r="191" spans="1:10" s="18" customFormat="1">
      <c r="A191" s="61"/>
      <c r="F191" s="16"/>
      <c r="G191" s="15"/>
      <c r="H191" s="15"/>
      <c r="I191" s="16"/>
      <c r="J191" s="16"/>
    </row>
    <row r="192" spans="1:10" s="18" customFormat="1">
      <c r="A192" s="61"/>
      <c r="F192" s="16"/>
      <c r="G192" s="15"/>
      <c r="H192" s="15"/>
      <c r="I192" s="16"/>
      <c r="J192" s="16"/>
    </row>
    <row r="193" spans="1:10" s="18" customFormat="1">
      <c r="A193" s="61"/>
      <c r="F193" s="16"/>
      <c r="G193" s="15"/>
      <c r="H193" s="15"/>
      <c r="I193" s="16"/>
      <c r="J193" s="16"/>
    </row>
    <row r="194" spans="1:10" s="18" customFormat="1">
      <c r="A194" s="61"/>
      <c r="F194" s="16"/>
      <c r="G194" s="15"/>
      <c r="H194" s="15"/>
      <c r="I194" s="16"/>
      <c r="J194" s="16"/>
    </row>
    <row r="195" spans="1:10" s="18" customFormat="1">
      <c r="A195" s="61"/>
      <c r="F195" s="16"/>
      <c r="G195" s="15"/>
      <c r="H195" s="15"/>
      <c r="I195" s="16"/>
      <c r="J195" s="16"/>
    </row>
    <row r="196" spans="1:10" s="18" customFormat="1">
      <c r="A196" s="61"/>
      <c r="F196" s="16"/>
      <c r="G196" s="15"/>
      <c r="H196" s="15"/>
      <c r="I196" s="16"/>
      <c r="J196" s="16"/>
    </row>
    <row r="197" spans="1:10" s="18" customFormat="1">
      <c r="A197" s="61"/>
      <c r="F197" s="16"/>
      <c r="G197" s="15"/>
      <c r="H197" s="15"/>
      <c r="I197" s="16"/>
      <c r="J197" s="16"/>
    </row>
    <row r="198" spans="1:10" s="18" customFormat="1">
      <c r="A198" s="61"/>
      <c r="F198" s="16"/>
      <c r="G198" s="15"/>
      <c r="H198" s="15"/>
      <c r="I198" s="16"/>
      <c r="J198" s="16"/>
    </row>
    <row r="199" spans="1:10" s="18" customFormat="1">
      <c r="A199" s="61"/>
      <c r="F199" s="16"/>
      <c r="G199" s="15"/>
      <c r="H199" s="15"/>
      <c r="I199" s="16"/>
      <c r="J199" s="16"/>
    </row>
    <row r="200" spans="1:10" s="18" customFormat="1">
      <c r="A200" s="61"/>
      <c r="F200" s="16"/>
      <c r="G200" s="15"/>
      <c r="H200" s="15"/>
      <c r="I200" s="16"/>
      <c r="J200" s="16"/>
    </row>
    <row r="201" spans="1:10" s="18" customFormat="1">
      <c r="A201" s="61"/>
      <c r="F201" s="16"/>
      <c r="G201" s="15"/>
      <c r="H201" s="15"/>
      <c r="I201" s="16"/>
      <c r="J201" s="16"/>
    </row>
    <row r="202" spans="1:10" s="18" customFormat="1">
      <c r="A202" s="61"/>
      <c r="F202" s="16"/>
      <c r="G202" s="15"/>
      <c r="H202" s="15"/>
      <c r="I202" s="16"/>
      <c r="J202" s="16"/>
    </row>
    <row r="203" spans="1:10" s="18" customFormat="1">
      <c r="A203" s="61"/>
      <c r="F203" s="16"/>
      <c r="G203" s="15"/>
      <c r="H203" s="15"/>
      <c r="I203" s="16"/>
      <c r="J203" s="16"/>
    </row>
    <row r="204" spans="1:10" s="18" customFormat="1">
      <c r="A204" s="61"/>
      <c r="F204" s="16"/>
      <c r="G204" s="15"/>
      <c r="H204" s="15"/>
      <c r="I204" s="16"/>
      <c r="J204" s="16"/>
    </row>
    <row r="205" spans="1:10" s="18" customFormat="1">
      <c r="A205" s="61"/>
      <c r="F205" s="16"/>
      <c r="G205" s="15"/>
      <c r="H205" s="15"/>
      <c r="I205" s="16"/>
      <c r="J205" s="16"/>
    </row>
    <row r="206" spans="1:10" s="18" customFormat="1">
      <c r="A206" s="61"/>
      <c r="F206" s="16"/>
      <c r="G206" s="15"/>
      <c r="H206" s="15"/>
      <c r="I206" s="16"/>
      <c r="J206" s="16"/>
    </row>
    <row r="207" spans="1:10" s="18" customFormat="1">
      <c r="A207" s="61"/>
      <c r="F207" s="16"/>
      <c r="G207" s="15"/>
      <c r="H207" s="15"/>
      <c r="I207" s="16"/>
      <c r="J207" s="16"/>
    </row>
    <row r="208" spans="1:10" s="18" customFormat="1">
      <c r="A208" s="61"/>
      <c r="F208" s="16"/>
      <c r="G208" s="15"/>
      <c r="H208" s="15"/>
      <c r="I208" s="16"/>
      <c r="J208" s="16"/>
    </row>
    <row r="209" spans="1:10" s="18" customFormat="1">
      <c r="A209" s="61"/>
      <c r="F209" s="16"/>
      <c r="G209" s="15"/>
      <c r="H209" s="15"/>
      <c r="I209" s="16"/>
      <c r="J209" s="16"/>
    </row>
    <row r="210" spans="1:10" s="18" customFormat="1">
      <c r="A210" s="61"/>
      <c r="F210" s="16"/>
      <c r="G210" s="15"/>
      <c r="H210" s="15"/>
      <c r="I210" s="16"/>
      <c r="J210" s="16"/>
    </row>
    <row r="211" spans="1:10" s="18" customFormat="1">
      <c r="A211" s="61"/>
      <c r="F211" s="16"/>
      <c r="G211" s="15"/>
      <c r="H211" s="15"/>
      <c r="I211" s="16"/>
      <c r="J211" s="16"/>
    </row>
    <row r="212" spans="1:10" s="18" customFormat="1">
      <c r="A212" s="61"/>
      <c r="F212" s="16"/>
      <c r="G212" s="15"/>
      <c r="H212" s="15"/>
      <c r="I212" s="16"/>
      <c r="J212" s="16"/>
    </row>
    <row r="213" spans="1:10" s="18" customFormat="1">
      <c r="A213" s="61"/>
      <c r="F213" s="16"/>
      <c r="G213" s="15"/>
      <c r="H213" s="15"/>
      <c r="I213" s="16"/>
      <c r="J213" s="16"/>
    </row>
    <row r="214" spans="1:10" s="18" customFormat="1">
      <c r="A214" s="61"/>
      <c r="F214" s="16"/>
      <c r="G214" s="15"/>
      <c r="H214" s="15"/>
      <c r="I214" s="16"/>
      <c r="J214" s="16"/>
    </row>
    <row r="215" spans="1:10" s="18" customFormat="1">
      <c r="A215" s="61"/>
      <c r="F215" s="16"/>
      <c r="G215" s="15"/>
      <c r="H215" s="15"/>
      <c r="I215" s="16"/>
      <c r="J215" s="16"/>
    </row>
    <row r="216" spans="1:10" s="18" customFormat="1">
      <c r="A216" s="61"/>
      <c r="F216" s="16"/>
      <c r="G216" s="15"/>
      <c r="H216" s="15"/>
      <c r="I216" s="16"/>
      <c r="J216" s="16"/>
    </row>
    <row r="217" spans="1:10" s="18" customFormat="1">
      <c r="A217" s="61"/>
      <c r="F217" s="16"/>
      <c r="G217" s="15"/>
      <c r="H217" s="15"/>
      <c r="I217" s="16"/>
      <c r="J217" s="16"/>
    </row>
    <row r="218" spans="1:10" s="18" customFormat="1">
      <c r="A218" s="61"/>
      <c r="F218" s="16"/>
      <c r="G218" s="15"/>
      <c r="H218" s="15"/>
      <c r="I218" s="16"/>
      <c r="J218" s="16"/>
    </row>
    <row r="219" spans="1:10" s="18" customFormat="1">
      <c r="A219" s="61"/>
      <c r="F219" s="16"/>
      <c r="G219" s="15"/>
      <c r="H219" s="15"/>
      <c r="I219" s="16"/>
      <c r="J219" s="16"/>
    </row>
    <row r="220" spans="1:10" s="18" customFormat="1">
      <c r="A220" s="61"/>
      <c r="F220" s="16"/>
      <c r="G220" s="15"/>
      <c r="H220" s="15"/>
      <c r="I220" s="16"/>
      <c r="J220" s="16"/>
    </row>
    <row r="221" spans="1:10" s="18" customFormat="1">
      <c r="A221" s="61"/>
      <c r="F221" s="16"/>
      <c r="G221" s="15"/>
      <c r="H221" s="15"/>
      <c r="I221" s="16"/>
      <c r="J221" s="16"/>
    </row>
    <row r="222" spans="1:10" s="18" customFormat="1">
      <c r="A222" s="61"/>
      <c r="F222" s="16"/>
      <c r="G222" s="15"/>
      <c r="H222" s="15"/>
      <c r="I222" s="16"/>
      <c r="J222" s="16"/>
    </row>
    <row r="223" spans="1:10" s="18" customFormat="1">
      <c r="A223" s="61"/>
      <c r="F223" s="16"/>
      <c r="G223" s="15"/>
      <c r="H223" s="15"/>
      <c r="I223" s="16"/>
      <c r="J223" s="16"/>
    </row>
    <row r="224" spans="1:10" s="18" customFormat="1">
      <c r="A224" s="61"/>
      <c r="F224" s="16"/>
      <c r="G224" s="15"/>
      <c r="H224" s="15"/>
      <c r="I224" s="16"/>
      <c r="J224" s="16"/>
    </row>
    <row r="225" spans="1:10" s="18" customFormat="1">
      <c r="A225" s="61"/>
      <c r="F225" s="16"/>
      <c r="G225" s="15"/>
      <c r="H225" s="15"/>
      <c r="I225" s="16"/>
      <c r="J225" s="16"/>
    </row>
    <row r="226" spans="1:10" s="18" customFormat="1">
      <c r="A226" s="61"/>
      <c r="F226" s="16"/>
      <c r="G226" s="15"/>
      <c r="H226" s="15"/>
      <c r="I226" s="16"/>
      <c r="J226" s="16"/>
    </row>
    <row r="227" spans="1:10" s="18" customFormat="1">
      <c r="A227" s="84"/>
      <c r="B227"/>
      <c r="C227"/>
      <c r="F227" s="16"/>
      <c r="G227" s="15"/>
      <c r="H227" s="15"/>
      <c r="I227" s="16"/>
      <c r="J227" s="16"/>
    </row>
    <row r="228" spans="1:10" s="18" customFormat="1">
      <c r="A228" s="85"/>
      <c r="B228" s="86"/>
      <c r="C228" s="86"/>
      <c r="F228" s="16"/>
      <c r="G228" s="15"/>
      <c r="H228" s="15"/>
      <c r="I228" s="16"/>
      <c r="J228" s="16"/>
    </row>
    <row r="229" spans="1:10" s="18" customFormat="1">
      <c r="A229" s="87"/>
      <c r="B229" s="88"/>
      <c r="C229" s="88"/>
      <c r="F229" s="16"/>
      <c r="G229" s="15"/>
      <c r="H229" s="15"/>
      <c r="I229" s="16"/>
      <c r="J229" s="16"/>
    </row>
    <row r="230" spans="1:10" s="18" customFormat="1">
      <c r="A230" s="87"/>
      <c r="B230" s="88"/>
      <c r="C230" s="88"/>
      <c r="F230" s="16"/>
      <c r="G230" s="15"/>
      <c r="H230" s="15"/>
      <c r="I230" s="16"/>
      <c r="J230" s="16"/>
    </row>
    <row r="231" spans="1:10" s="18" customFormat="1">
      <c r="A231" s="87"/>
      <c r="B231" s="88"/>
      <c r="C231" s="88"/>
      <c r="F231" s="16"/>
      <c r="G231" s="15"/>
      <c r="H231" s="15"/>
      <c r="I231" s="16"/>
      <c r="J231" s="16"/>
    </row>
    <row r="232" spans="1:10" s="18" customFormat="1">
      <c r="A232" s="87"/>
      <c r="B232" s="88"/>
      <c r="C232" s="88"/>
      <c r="F232" s="16"/>
      <c r="G232" s="15"/>
      <c r="H232" s="15"/>
      <c r="I232" s="16"/>
      <c r="J232" s="16"/>
    </row>
    <row r="233" spans="1:10" s="18" customFormat="1">
      <c r="A233" s="61"/>
      <c r="F233" s="16"/>
      <c r="G233" s="15"/>
      <c r="H233" s="15"/>
      <c r="I233" s="16"/>
      <c r="J233" s="16"/>
    </row>
    <row r="234" spans="1:10" s="18" customFormat="1">
      <c r="A234" s="61"/>
      <c r="F234" s="16"/>
      <c r="G234" s="15"/>
      <c r="H234" s="15"/>
      <c r="I234" s="16"/>
      <c r="J234" s="16"/>
    </row>
    <row r="235" spans="1:10" s="18" customFormat="1">
      <c r="A235" s="61"/>
      <c r="F235" s="16"/>
      <c r="G235" s="15"/>
      <c r="H235" s="15"/>
      <c r="I235" s="16"/>
      <c r="J235" s="16"/>
    </row>
    <row r="236" spans="1:10" s="18" customFormat="1">
      <c r="A236" s="61"/>
      <c r="F236" s="16"/>
      <c r="G236" s="15"/>
      <c r="H236" s="15"/>
      <c r="I236" s="16"/>
      <c r="J236" s="16"/>
    </row>
    <row r="237" spans="1:10" s="18" customFormat="1">
      <c r="A237" s="61"/>
      <c r="F237" s="16"/>
      <c r="G237" s="15"/>
      <c r="H237" s="15"/>
      <c r="I237" s="16"/>
      <c r="J237" s="16"/>
    </row>
    <row r="238" spans="1:10" s="18" customFormat="1">
      <c r="A238" s="61"/>
      <c r="F238" s="16"/>
      <c r="G238" s="15"/>
      <c r="H238" s="15"/>
      <c r="I238" s="16"/>
      <c r="J238" s="16"/>
    </row>
    <row r="239" spans="1:10" s="18" customFormat="1">
      <c r="A239" s="61"/>
      <c r="F239" s="16"/>
      <c r="G239" s="15"/>
      <c r="H239" s="15"/>
      <c r="I239" s="16"/>
      <c r="J239" s="16"/>
    </row>
    <row r="240" spans="1:10" s="18" customFormat="1">
      <c r="A240" s="61"/>
      <c r="F240" s="16"/>
      <c r="G240" s="15"/>
      <c r="H240" s="15"/>
      <c r="I240" s="16"/>
      <c r="J240" s="16"/>
    </row>
    <row r="241" spans="1:10" s="18" customFormat="1">
      <c r="A241" s="61"/>
      <c r="F241" s="16"/>
      <c r="G241" s="15"/>
      <c r="H241" s="15"/>
      <c r="I241" s="16"/>
      <c r="J241" s="16"/>
    </row>
    <row r="242" spans="1:10" s="18" customFormat="1">
      <c r="A242" s="61"/>
      <c r="F242" s="16"/>
      <c r="G242" s="15"/>
      <c r="H242" s="15"/>
      <c r="I242" s="16"/>
      <c r="J242" s="16"/>
    </row>
    <row r="243" spans="1:10" s="18" customFormat="1">
      <c r="A243" s="61"/>
      <c r="F243" s="16"/>
      <c r="G243" s="15"/>
      <c r="H243" s="15"/>
      <c r="I243" s="16"/>
      <c r="J243" s="16"/>
    </row>
    <row r="244" spans="1:10" s="18" customFormat="1">
      <c r="A244" s="61"/>
      <c r="F244" s="16"/>
      <c r="G244" s="15"/>
      <c r="H244" s="15"/>
      <c r="I244" s="16"/>
      <c r="J244" s="16"/>
    </row>
    <row r="245" spans="1:10" s="18" customFormat="1">
      <c r="A245" s="61"/>
      <c r="F245" s="16"/>
      <c r="G245" s="15"/>
      <c r="H245" s="15"/>
      <c r="I245" s="16"/>
      <c r="J245" s="16"/>
    </row>
    <row r="246" spans="1:10" s="18" customFormat="1">
      <c r="A246" s="61"/>
      <c r="F246" s="16"/>
      <c r="G246" s="15"/>
      <c r="H246" s="15"/>
      <c r="I246" s="16"/>
      <c r="J246" s="16"/>
    </row>
    <row r="247" spans="1:10" s="18" customFormat="1">
      <c r="A247" s="61"/>
      <c r="F247" s="16"/>
      <c r="G247" s="15"/>
      <c r="H247" s="15"/>
      <c r="I247" s="16"/>
      <c r="J247" s="16"/>
    </row>
    <row r="248" spans="1:10" s="18" customFormat="1">
      <c r="A248" s="61"/>
      <c r="F248" s="16"/>
      <c r="G248" s="15"/>
      <c r="H248" s="15"/>
      <c r="I248" s="16"/>
      <c r="J248" s="16"/>
    </row>
    <row r="249" spans="1:10" s="18" customFormat="1">
      <c r="A249" s="61"/>
      <c r="F249" s="16"/>
      <c r="G249" s="15"/>
      <c r="H249" s="15"/>
      <c r="I249" s="16"/>
      <c r="J249" s="16"/>
    </row>
    <row r="250" spans="1:10" s="18" customFormat="1">
      <c r="A250" s="61"/>
      <c r="F250" s="16"/>
      <c r="G250" s="15"/>
      <c r="H250" s="15"/>
      <c r="I250" s="16"/>
      <c r="J250" s="16"/>
    </row>
    <row r="251" spans="1:10" s="18" customFormat="1">
      <c r="A251" s="61"/>
      <c r="F251" s="16"/>
      <c r="G251" s="15"/>
      <c r="H251" s="15"/>
      <c r="I251" s="16"/>
      <c r="J251" s="16"/>
    </row>
    <row r="252" spans="1:10" s="18" customFormat="1">
      <c r="A252" s="61"/>
      <c r="F252" s="16"/>
      <c r="G252" s="15"/>
      <c r="H252" s="15"/>
      <c r="I252" s="16"/>
      <c r="J252" s="16"/>
    </row>
    <row r="253" spans="1:10" s="18" customFormat="1">
      <c r="A253" s="61"/>
      <c r="F253" s="16"/>
      <c r="G253" s="15"/>
      <c r="H253" s="15"/>
      <c r="I253" s="16"/>
      <c r="J253" s="16"/>
    </row>
    <row r="254" spans="1:10" s="18" customFormat="1">
      <c r="A254" s="61"/>
      <c r="F254" s="16"/>
      <c r="G254" s="15"/>
      <c r="H254" s="15"/>
      <c r="I254" s="16"/>
      <c r="J254" s="16"/>
    </row>
    <row r="255" spans="1:10" s="18" customFormat="1">
      <c r="A255" s="61"/>
      <c r="F255" s="16"/>
      <c r="G255" s="15"/>
      <c r="H255" s="15"/>
      <c r="I255" s="16"/>
      <c r="J255" s="16"/>
    </row>
    <row r="256" spans="1:10" s="18" customFormat="1">
      <c r="A256" s="61"/>
      <c r="F256" s="16"/>
      <c r="G256" s="15"/>
      <c r="H256" s="15"/>
      <c r="I256" s="16"/>
      <c r="J256" s="16"/>
    </row>
    <row r="257" spans="1:10" s="18" customFormat="1">
      <c r="A257" s="61"/>
      <c r="F257" s="16"/>
      <c r="G257" s="15"/>
      <c r="H257" s="15"/>
      <c r="I257" s="16"/>
      <c r="J257" s="16"/>
    </row>
    <row r="258" spans="1:10" s="18" customFormat="1">
      <c r="A258" s="61"/>
      <c r="F258" s="16"/>
      <c r="G258" s="15"/>
      <c r="H258" s="15"/>
      <c r="I258" s="16"/>
      <c r="J258" s="16"/>
    </row>
    <row r="259" spans="1:10" s="18" customFormat="1">
      <c r="A259" s="61"/>
      <c r="F259" s="16"/>
      <c r="G259" s="15"/>
      <c r="H259" s="15"/>
      <c r="I259" s="16"/>
      <c r="J259" s="16"/>
    </row>
    <row r="260" spans="1:10" s="18" customFormat="1">
      <c r="A260" s="61"/>
      <c r="F260" s="16"/>
      <c r="G260" s="15"/>
      <c r="H260" s="15"/>
      <c r="I260" s="16"/>
      <c r="J260" s="16"/>
    </row>
    <row r="261" spans="1:10" s="18" customFormat="1">
      <c r="A261" s="61"/>
      <c r="F261" s="16"/>
      <c r="G261" s="15"/>
      <c r="H261" s="15"/>
      <c r="I261" s="16"/>
      <c r="J261" s="16"/>
    </row>
    <row r="262" spans="1:10" s="18" customFormat="1">
      <c r="A262" s="61"/>
      <c r="F262" s="16"/>
      <c r="G262" s="15"/>
      <c r="H262" s="15"/>
      <c r="I262" s="16"/>
      <c r="J262" s="16"/>
    </row>
    <row r="263" spans="1:10" s="18" customFormat="1">
      <c r="A263" s="61"/>
      <c r="F263" s="16"/>
      <c r="G263" s="15"/>
      <c r="H263" s="15"/>
      <c r="I263" s="16"/>
      <c r="J263" s="16"/>
    </row>
    <row r="264" spans="1:10" s="18" customFormat="1">
      <c r="A264" s="61"/>
      <c r="F264" s="16"/>
      <c r="G264" s="15"/>
      <c r="H264" s="15"/>
      <c r="I264" s="16"/>
      <c r="J264" s="16"/>
    </row>
    <row r="265" spans="1:10" s="18" customFormat="1">
      <c r="A265" s="61"/>
      <c r="F265" s="16"/>
      <c r="G265" s="15"/>
      <c r="H265" s="15"/>
      <c r="I265" s="16"/>
      <c r="J265" s="16"/>
    </row>
    <row r="266" spans="1:10" s="18" customFormat="1">
      <c r="A266" s="61"/>
      <c r="F266" s="16"/>
      <c r="G266" s="15"/>
      <c r="H266" s="15"/>
      <c r="I266" s="16"/>
      <c r="J266" s="16"/>
    </row>
    <row r="267" spans="1:10" s="18" customFormat="1">
      <c r="A267" s="61"/>
      <c r="F267" s="16"/>
      <c r="G267" s="15"/>
      <c r="H267" s="15"/>
      <c r="I267" s="16"/>
      <c r="J267" s="16"/>
    </row>
    <row r="268" spans="1:10" s="18" customFormat="1">
      <c r="A268" s="61"/>
      <c r="F268" s="16"/>
      <c r="G268" s="15"/>
      <c r="H268" s="15"/>
      <c r="I268" s="16"/>
      <c r="J268" s="16"/>
    </row>
    <row r="269" spans="1:10" s="18" customFormat="1">
      <c r="A269" s="61"/>
      <c r="F269" s="16"/>
      <c r="G269" s="15"/>
      <c r="H269" s="15"/>
      <c r="I269" s="16"/>
      <c r="J269" s="16"/>
    </row>
    <row r="270" spans="1:10" s="18" customFormat="1">
      <c r="A270" s="61"/>
      <c r="F270" s="16"/>
      <c r="G270" s="15"/>
      <c r="H270" s="15"/>
      <c r="I270" s="16"/>
      <c r="J270" s="16"/>
    </row>
    <row r="271" spans="1:10" s="18" customFormat="1">
      <c r="A271" s="61"/>
      <c r="F271" s="16"/>
      <c r="G271" s="15"/>
      <c r="H271" s="15"/>
      <c r="I271" s="16"/>
      <c r="J271" s="16"/>
    </row>
    <row r="272" spans="1:10" s="18" customFormat="1">
      <c r="A272" s="61"/>
      <c r="F272" s="16"/>
      <c r="G272" s="15"/>
      <c r="H272" s="15"/>
      <c r="I272" s="16"/>
      <c r="J272" s="16"/>
    </row>
    <row r="273" spans="1:10" s="18" customFormat="1">
      <c r="A273" s="61"/>
      <c r="F273" s="16"/>
      <c r="G273" s="15"/>
      <c r="H273" s="15"/>
      <c r="I273" s="16"/>
      <c r="J273" s="16"/>
    </row>
    <row r="274" spans="1:10" s="18" customFormat="1">
      <c r="A274" s="61"/>
      <c r="F274" s="16"/>
      <c r="G274" s="15"/>
      <c r="H274" s="15"/>
      <c r="I274" s="16"/>
      <c r="J274" s="16"/>
    </row>
    <row r="275" spans="1:10" s="18" customFormat="1">
      <c r="A275" s="61"/>
      <c r="F275" s="16"/>
      <c r="G275" s="15"/>
      <c r="H275" s="15"/>
      <c r="I275" s="16"/>
      <c r="J275" s="16"/>
    </row>
    <row r="276" spans="1:10" s="18" customFormat="1">
      <c r="A276" s="61"/>
      <c r="F276" s="16"/>
      <c r="G276" s="15"/>
      <c r="H276" s="15"/>
      <c r="I276" s="16"/>
      <c r="J276" s="16"/>
    </row>
    <row r="277" spans="1:10" s="18" customFormat="1">
      <c r="A277" s="61"/>
      <c r="F277" s="16"/>
      <c r="G277" s="15"/>
      <c r="H277" s="15"/>
      <c r="I277" s="16"/>
      <c r="J277" s="16"/>
    </row>
    <row r="278" spans="1:10" s="18" customFormat="1">
      <c r="A278" s="61"/>
      <c r="F278" s="16"/>
      <c r="G278" s="15"/>
      <c r="H278" s="15"/>
      <c r="I278" s="16"/>
      <c r="J278" s="16"/>
    </row>
    <row r="279" spans="1:10" s="18" customFormat="1">
      <c r="A279" s="61"/>
      <c r="F279" s="16"/>
      <c r="G279" s="15"/>
      <c r="H279" s="15"/>
      <c r="I279" s="16"/>
      <c r="J279" s="16"/>
    </row>
    <row r="280" spans="1:10" s="18" customFormat="1">
      <c r="A280" s="61"/>
      <c r="F280" s="16"/>
      <c r="G280" s="15"/>
      <c r="H280" s="15"/>
      <c r="I280" s="16"/>
      <c r="J280" s="16"/>
    </row>
    <row r="281" spans="1:10" s="18" customFormat="1">
      <c r="A281" s="61"/>
      <c r="F281" s="16"/>
      <c r="G281" s="15"/>
      <c r="H281" s="15"/>
      <c r="I281" s="16"/>
      <c r="J281" s="16"/>
    </row>
    <row r="282" spans="1:10" s="18" customFormat="1">
      <c r="A282" s="61"/>
      <c r="F282" s="16"/>
      <c r="G282" s="15"/>
      <c r="H282" s="15"/>
      <c r="I282" s="16"/>
      <c r="J282" s="16"/>
    </row>
    <row r="283" spans="1:10" s="18" customFormat="1">
      <c r="A283" s="61"/>
      <c r="F283" s="16"/>
      <c r="G283" s="15"/>
      <c r="H283" s="15"/>
      <c r="I283" s="16"/>
      <c r="J283" s="16"/>
    </row>
    <row r="284" spans="1:10" s="18" customFormat="1">
      <c r="A284" s="61"/>
      <c r="F284" s="16"/>
      <c r="G284" s="15"/>
      <c r="H284" s="15"/>
      <c r="I284" s="16"/>
      <c r="J284" s="16"/>
    </row>
    <row r="285" spans="1:10" s="18" customFormat="1">
      <c r="A285" s="61"/>
      <c r="F285" s="16"/>
      <c r="G285" s="15"/>
      <c r="H285" s="15"/>
      <c r="I285" s="16"/>
      <c r="J285" s="16"/>
    </row>
    <row r="286" spans="1:10" s="18" customFormat="1">
      <c r="A286" s="61"/>
      <c r="F286" s="16"/>
      <c r="G286" s="15"/>
      <c r="H286" s="15"/>
      <c r="I286" s="16"/>
      <c r="J286" s="16"/>
    </row>
    <row r="287" spans="1:10" s="18" customFormat="1">
      <c r="A287" s="61"/>
      <c r="F287" s="16"/>
      <c r="G287" s="15"/>
      <c r="H287" s="15"/>
      <c r="I287" s="16"/>
      <c r="J287" s="16"/>
    </row>
    <row r="288" spans="1:10" s="18" customFormat="1">
      <c r="A288" s="61"/>
      <c r="F288" s="16"/>
      <c r="G288" s="15"/>
      <c r="H288" s="15"/>
      <c r="I288" s="16"/>
      <c r="J288" s="16"/>
    </row>
    <row r="289" spans="1:10" s="18" customFormat="1">
      <c r="A289" s="61"/>
      <c r="F289" s="16"/>
      <c r="G289" s="15"/>
      <c r="H289" s="15"/>
      <c r="I289" s="16"/>
      <c r="J289" s="16"/>
    </row>
    <row r="290" spans="1:10" s="18" customFormat="1">
      <c r="A290" s="61"/>
      <c r="F290" s="16"/>
      <c r="G290" s="15"/>
      <c r="H290" s="15"/>
      <c r="I290" s="16"/>
      <c r="J290" s="16"/>
    </row>
    <row r="291" spans="1:10" s="18" customFormat="1">
      <c r="A291" s="61"/>
      <c r="F291" s="16"/>
      <c r="G291" s="15"/>
      <c r="H291" s="15"/>
      <c r="I291" s="16"/>
      <c r="J291" s="16"/>
    </row>
    <row r="292" spans="1:10" s="18" customFormat="1">
      <c r="A292" s="61"/>
      <c r="F292" s="16"/>
      <c r="G292" s="15"/>
      <c r="H292" s="15"/>
      <c r="I292" s="16"/>
      <c r="J292" s="16"/>
    </row>
    <row r="293" spans="1:10" s="18" customFormat="1">
      <c r="A293" s="61"/>
      <c r="F293" s="16"/>
      <c r="G293" s="15"/>
      <c r="H293" s="15"/>
      <c r="I293" s="16"/>
      <c r="J293" s="16"/>
    </row>
    <row r="294" spans="1:10" s="18" customFormat="1">
      <c r="A294" s="61"/>
      <c r="F294" s="16"/>
      <c r="G294" s="15"/>
      <c r="H294" s="15"/>
      <c r="I294" s="16"/>
      <c r="J294" s="16"/>
    </row>
    <row r="295" spans="1:10" s="18" customFormat="1">
      <c r="A295" s="61"/>
      <c r="F295" s="16"/>
      <c r="G295" s="15"/>
      <c r="H295" s="15"/>
      <c r="I295" s="16"/>
      <c r="J295" s="16"/>
    </row>
    <row r="296" spans="1:10" s="18" customFormat="1">
      <c r="A296" s="61"/>
      <c r="F296" s="16"/>
      <c r="G296" s="15"/>
      <c r="H296" s="15"/>
      <c r="I296" s="16"/>
      <c r="J296" s="16"/>
    </row>
    <row r="297" spans="1:10" s="18" customFormat="1">
      <c r="A297" s="61"/>
      <c r="F297" s="16"/>
      <c r="G297" s="15"/>
      <c r="H297" s="15"/>
      <c r="I297" s="16"/>
      <c r="J297" s="16"/>
    </row>
    <row r="298" spans="1:10" s="18" customFormat="1">
      <c r="A298" s="61"/>
      <c r="F298" s="16"/>
      <c r="G298" s="15"/>
      <c r="H298" s="15"/>
      <c r="I298" s="16"/>
      <c r="J298" s="16"/>
    </row>
    <row r="299" spans="1:10" s="18" customFormat="1">
      <c r="A299" s="61"/>
      <c r="F299" s="16"/>
      <c r="G299" s="15"/>
      <c r="H299" s="15"/>
      <c r="I299" s="16"/>
      <c r="J299" s="16"/>
    </row>
    <row r="300" spans="1:10" s="18" customFormat="1">
      <c r="A300" s="61"/>
      <c r="F300" s="16"/>
      <c r="G300" s="15"/>
      <c r="H300" s="15"/>
      <c r="I300" s="16"/>
      <c r="J300" s="16"/>
    </row>
    <row r="301" spans="1:10" s="18" customFormat="1">
      <c r="A301" s="61"/>
      <c r="F301" s="16"/>
      <c r="G301" s="15"/>
      <c r="H301" s="15"/>
      <c r="I301" s="16"/>
      <c r="J301" s="16"/>
    </row>
    <row r="302" spans="1:10" s="18" customFormat="1">
      <c r="A302" s="61"/>
      <c r="F302" s="16"/>
      <c r="G302" s="15"/>
      <c r="H302" s="15"/>
      <c r="I302" s="16"/>
      <c r="J302" s="16"/>
    </row>
    <row r="303" spans="1:10" s="18" customFormat="1">
      <c r="A303" s="61"/>
      <c r="F303" s="16"/>
      <c r="G303" s="15"/>
      <c r="H303" s="15"/>
      <c r="I303" s="16"/>
      <c r="J303" s="16"/>
    </row>
    <row r="304" spans="1:10" s="18" customFormat="1">
      <c r="A304" s="61"/>
      <c r="F304" s="16"/>
      <c r="G304" s="15"/>
      <c r="H304" s="15"/>
      <c r="I304" s="16"/>
      <c r="J304" s="16"/>
    </row>
    <row r="305" spans="1:10" s="18" customFormat="1">
      <c r="A305" s="61"/>
      <c r="F305" s="16"/>
      <c r="G305" s="15"/>
      <c r="H305" s="15"/>
      <c r="I305" s="16"/>
      <c r="J305" s="16"/>
    </row>
    <row r="306" spans="1:10" s="18" customFormat="1">
      <c r="A306" s="61"/>
      <c r="F306" s="16"/>
      <c r="G306" s="15"/>
      <c r="H306" s="15"/>
      <c r="I306" s="16"/>
      <c r="J306" s="16"/>
    </row>
    <row r="307" spans="1:10" s="18" customFormat="1">
      <c r="A307" s="61"/>
      <c r="F307" s="16"/>
      <c r="G307" s="15"/>
      <c r="H307" s="15"/>
      <c r="I307" s="16"/>
      <c r="J307" s="16"/>
    </row>
    <row r="308" spans="1:10" s="18" customFormat="1">
      <c r="A308" s="61"/>
      <c r="F308" s="16"/>
      <c r="G308" s="15"/>
      <c r="H308" s="15"/>
      <c r="I308" s="16"/>
      <c r="J308" s="16"/>
    </row>
    <row r="309" spans="1:10" s="18" customFormat="1">
      <c r="A309" s="61"/>
      <c r="F309" s="16"/>
      <c r="G309" s="15"/>
      <c r="H309" s="15"/>
      <c r="I309" s="16"/>
      <c r="J309" s="16"/>
    </row>
    <row r="310" spans="1:10" s="18" customFormat="1">
      <c r="A310" s="61"/>
      <c r="F310" s="16"/>
      <c r="G310" s="15"/>
      <c r="H310" s="15"/>
      <c r="I310" s="16"/>
      <c r="J310" s="16"/>
    </row>
    <row r="311" spans="1:10" s="18" customFormat="1">
      <c r="A311" s="61"/>
      <c r="F311" s="16"/>
      <c r="G311" s="15"/>
      <c r="H311" s="15"/>
      <c r="I311" s="16"/>
      <c r="J311" s="16"/>
    </row>
    <row r="312" spans="1:10" s="18" customFormat="1">
      <c r="A312" s="61"/>
      <c r="F312" s="16"/>
      <c r="G312" s="15"/>
      <c r="H312" s="15"/>
      <c r="I312" s="16"/>
      <c r="J312" s="16"/>
    </row>
    <row r="313" spans="1:10" s="18" customFormat="1">
      <c r="A313" s="61"/>
      <c r="F313" s="16"/>
      <c r="G313" s="15"/>
      <c r="H313" s="15"/>
      <c r="I313" s="16"/>
      <c r="J313" s="16"/>
    </row>
    <row r="314" spans="1:10" s="18" customFormat="1">
      <c r="A314" s="61"/>
      <c r="F314" s="16"/>
      <c r="G314" s="15"/>
      <c r="H314" s="15"/>
      <c r="I314" s="16"/>
      <c r="J314" s="16"/>
    </row>
    <row r="315" spans="1:10" s="18" customFormat="1">
      <c r="A315" s="61"/>
      <c r="F315" s="16"/>
      <c r="G315" s="15"/>
      <c r="H315" s="15"/>
      <c r="I315" s="16"/>
      <c r="J315" s="16"/>
    </row>
    <row r="316" spans="1:10" s="18" customFormat="1">
      <c r="A316" s="61"/>
      <c r="F316" s="16"/>
      <c r="G316" s="15"/>
      <c r="H316" s="15"/>
      <c r="I316" s="16"/>
      <c r="J316" s="16"/>
    </row>
    <row r="317" spans="1:10" s="18" customFormat="1">
      <c r="A317" s="61"/>
      <c r="F317" s="16"/>
      <c r="G317" s="15"/>
      <c r="H317" s="15"/>
      <c r="I317" s="16"/>
      <c r="J317" s="16"/>
    </row>
    <row r="318" spans="1:10" s="18" customFormat="1">
      <c r="A318" s="61"/>
      <c r="F318" s="16"/>
      <c r="G318" s="15"/>
      <c r="H318" s="15"/>
      <c r="I318" s="16"/>
      <c r="J318" s="16"/>
    </row>
    <row r="319" spans="1:10" s="18" customFormat="1">
      <c r="A319" s="61"/>
      <c r="F319" s="16"/>
      <c r="G319" s="15"/>
      <c r="H319" s="15"/>
      <c r="I319" s="16"/>
      <c r="J319" s="16"/>
    </row>
    <row r="320" spans="1:10" s="18" customFormat="1">
      <c r="A320" s="61"/>
      <c r="F320" s="16"/>
      <c r="G320" s="15"/>
      <c r="H320" s="15"/>
      <c r="I320" s="16"/>
      <c r="J320" s="16"/>
    </row>
    <row r="321" spans="1:10" s="18" customFormat="1">
      <c r="A321" s="61"/>
      <c r="F321" s="16"/>
      <c r="G321" s="15"/>
      <c r="H321" s="15"/>
      <c r="I321" s="16"/>
      <c r="J321" s="16"/>
    </row>
    <row r="322" spans="1:10" s="18" customFormat="1">
      <c r="A322" s="61"/>
      <c r="F322" s="16"/>
      <c r="G322" s="15"/>
      <c r="H322" s="15"/>
      <c r="I322" s="16"/>
      <c r="J322" s="16"/>
    </row>
    <row r="323" spans="1:10" s="18" customFormat="1">
      <c r="A323" s="61"/>
      <c r="F323" s="16"/>
      <c r="G323" s="15"/>
      <c r="H323" s="15"/>
      <c r="I323" s="16"/>
      <c r="J323" s="16"/>
    </row>
    <row r="324" spans="1:10" s="18" customFormat="1">
      <c r="A324" s="61"/>
      <c r="F324" s="16"/>
      <c r="G324" s="15"/>
      <c r="H324" s="15"/>
      <c r="I324" s="16"/>
      <c r="J324" s="16"/>
    </row>
    <row r="325" spans="1:10" s="18" customFormat="1">
      <c r="A325" s="61"/>
      <c r="F325" s="16"/>
      <c r="G325" s="15"/>
      <c r="H325" s="15"/>
      <c r="I325" s="16"/>
      <c r="J325" s="16"/>
    </row>
    <row r="326" spans="1:10" s="18" customFormat="1">
      <c r="A326" s="61"/>
      <c r="F326" s="16"/>
      <c r="G326" s="15"/>
      <c r="H326" s="15"/>
      <c r="I326" s="16"/>
      <c r="J326" s="16"/>
    </row>
    <row r="327" spans="1:10" s="18" customFormat="1">
      <c r="A327" s="61"/>
      <c r="F327" s="16"/>
      <c r="G327" s="15"/>
      <c r="H327" s="15"/>
      <c r="I327" s="16"/>
      <c r="J327" s="16"/>
    </row>
    <row r="328" spans="1:10" s="18" customFormat="1">
      <c r="A328" s="61"/>
      <c r="F328" s="16"/>
      <c r="G328" s="15"/>
      <c r="H328" s="15"/>
      <c r="I328" s="16"/>
      <c r="J328" s="16"/>
    </row>
    <row r="329" spans="1:10" s="18" customFormat="1">
      <c r="A329" s="61"/>
      <c r="F329" s="16"/>
      <c r="G329" s="15"/>
      <c r="H329" s="15"/>
      <c r="I329" s="16"/>
      <c r="J329" s="16"/>
    </row>
    <row r="330" spans="1:10" s="18" customFormat="1">
      <c r="A330" s="61"/>
      <c r="F330" s="16"/>
      <c r="G330" s="15"/>
      <c r="H330" s="15"/>
      <c r="I330" s="16"/>
      <c r="J330" s="16"/>
    </row>
    <row r="331" spans="1:10" s="18" customFormat="1">
      <c r="A331" s="61"/>
      <c r="F331" s="16"/>
      <c r="G331" s="15"/>
      <c r="H331" s="15"/>
      <c r="I331" s="16"/>
      <c r="J331" s="16"/>
    </row>
    <row r="332" spans="1:10" s="18" customFormat="1">
      <c r="A332" s="61"/>
      <c r="F332" s="16"/>
      <c r="G332" s="15"/>
      <c r="H332" s="15"/>
      <c r="I332" s="16"/>
      <c r="J332" s="16"/>
    </row>
    <row r="333" spans="1:10" s="18" customFormat="1">
      <c r="A333" s="61"/>
      <c r="F333" s="16"/>
      <c r="G333" s="15"/>
      <c r="H333" s="15"/>
      <c r="I333" s="16"/>
      <c r="J333" s="16"/>
    </row>
    <row r="334" spans="1:10" s="18" customFormat="1">
      <c r="A334" s="61"/>
      <c r="F334" s="16"/>
      <c r="G334" s="15"/>
      <c r="H334" s="15"/>
      <c r="I334" s="16"/>
      <c r="J334" s="16"/>
    </row>
    <row r="335" spans="1:10" s="18" customFormat="1">
      <c r="A335" s="61"/>
      <c r="F335" s="16"/>
      <c r="G335" s="15"/>
      <c r="H335" s="15"/>
      <c r="I335" s="16"/>
      <c r="J335" s="16"/>
    </row>
  </sheetData>
  <mergeCells count="50">
    <mergeCell ref="A113:J113"/>
    <mergeCell ref="A121:J121"/>
    <mergeCell ref="A127:J127"/>
    <mergeCell ref="A151:J151"/>
    <mergeCell ref="C183:F183"/>
    <mergeCell ref="H183:J183"/>
    <mergeCell ref="C184:F184"/>
    <mergeCell ref="H184:J184"/>
    <mergeCell ref="B25:F25"/>
    <mergeCell ref="B26:F26"/>
    <mergeCell ref="B27:F27"/>
    <mergeCell ref="B28:F28"/>
    <mergeCell ref="A142:J142"/>
    <mergeCell ref="A29:J29"/>
    <mergeCell ref="A31:J31"/>
    <mergeCell ref="A33:A34"/>
    <mergeCell ref="B33:B34"/>
    <mergeCell ref="C33:C34"/>
    <mergeCell ref="D33:D34"/>
    <mergeCell ref="E33:E34"/>
    <mergeCell ref="F33:F34"/>
    <mergeCell ref="G33:J33"/>
    <mergeCell ref="A36:J36"/>
    <mergeCell ref="A98:J98"/>
    <mergeCell ref="B21:F21"/>
    <mergeCell ref="B22:F22"/>
    <mergeCell ref="B23:F23"/>
    <mergeCell ref="G23:I23"/>
    <mergeCell ref="B24:F24"/>
    <mergeCell ref="G24:I24"/>
    <mergeCell ref="B16:F16"/>
    <mergeCell ref="B17:F17"/>
    <mergeCell ref="B18:F18"/>
    <mergeCell ref="B19:F19"/>
    <mergeCell ref="B20:F20"/>
    <mergeCell ref="A12:B12"/>
    <mergeCell ref="G12:J12"/>
    <mergeCell ref="A13:B13"/>
    <mergeCell ref="A15:B15"/>
    <mergeCell ref="G15:J15"/>
    <mergeCell ref="A8:B8"/>
    <mergeCell ref="A9:B9"/>
    <mergeCell ref="G9:J9"/>
    <mergeCell ref="A10:B10"/>
    <mergeCell ref="I11:J11"/>
    <mergeCell ref="G1:J1"/>
    <mergeCell ref="G2:J5"/>
    <mergeCell ref="A3:B3"/>
    <mergeCell ref="G6:J6"/>
    <mergeCell ref="G7:J7"/>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08"/>
  <sheetViews>
    <sheetView topLeftCell="A55" zoomScaleNormal="100" workbookViewId="0">
      <selection activeCell="F72" sqref="F72"/>
    </sheetView>
  </sheetViews>
  <sheetFormatPr defaultRowHeight="15.75" outlineLevelRow="1"/>
  <cols>
    <col min="1" max="1" width="68.28515625" style="104" customWidth="1"/>
    <col min="2" max="2" width="9.140625" style="108" customWidth="1"/>
    <col min="3" max="3" width="11" style="108" customWidth="1"/>
    <col min="4" max="4" width="11.85546875" style="108" customWidth="1"/>
    <col min="5" max="5" width="12.140625" style="108" customWidth="1"/>
    <col min="6" max="6" width="10.85546875" style="108" customWidth="1"/>
    <col min="7" max="7" width="12.5703125" style="108" customWidth="1"/>
    <col min="8" max="8" width="13" style="108" customWidth="1"/>
    <col min="9" max="9" width="17.7109375" style="104" customWidth="1"/>
    <col min="10" max="10" width="15.85546875" style="104" customWidth="1"/>
    <col min="11" max="11" width="13" style="104" customWidth="1"/>
    <col min="12" max="16384" width="9.140625" style="104"/>
  </cols>
  <sheetData>
    <row r="1" spans="1:12" ht="18.75" customHeight="1" outlineLevel="1">
      <c r="B1" s="105"/>
      <c r="C1" s="105"/>
      <c r="D1" s="105"/>
      <c r="E1" s="104"/>
      <c r="F1" s="142" t="s">
        <v>0</v>
      </c>
      <c r="G1" s="142"/>
      <c r="H1" s="142"/>
      <c r="J1" s="106"/>
      <c r="K1" s="106"/>
      <c r="L1" s="106"/>
    </row>
    <row r="2" spans="1:12" ht="18.75" customHeight="1" outlineLevel="1">
      <c r="A2" s="107"/>
      <c r="E2" s="104"/>
      <c r="F2" s="401" t="s">
        <v>1</v>
      </c>
      <c r="G2" s="401"/>
      <c r="H2" s="401"/>
      <c r="I2" s="109"/>
      <c r="J2" s="106"/>
      <c r="K2" s="106"/>
      <c r="L2" s="106"/>
    </row>
    <row r="3" spans="1:12" ht="18.75" customHeight="1" outlineLevel="1">
      <c r="A3" s="108"/>
      <c r="E3" s="110"/>
      <c r="F3" s="401"/>
      <c r="G3" s="401"/>
      <c r="H3" s="401"/>
      <c r="I3" s="109"/>
      <c r="J3" s="106"/>
      <c r="K3" s="106"/>
      <c r="L3" s="106"/>
    </row>
    <row r="4" spans="1:12" ht="18.75" customHeight="1" outlineLevel="1">
      <c r="A4" s="108"/>
      <c r="E4" s="110"/>
      <c r="F4" s="401"/>
      <c r="G4" s="401"/>
      <c r="H4" s="401"/>
      <c r="I4" s="109"/>
      <c r="J4" s="106"/>
      <c r="K4" s="106"/>
      <c r="L4" s="106"/>
    </row>
    <row r="5" spans="1:12" ht="18.75" customHeight="1" outlineLevel="1">
      <c r="A5" s="108"/>
      <c r="E5" s="110"/>
      <c r="F5" s="401"/>
      <c r="G5" s="401"/>
      <c r="H5" s="401"/>
      <c r="I5" s="109"/>
      <c r="J5" s="106"/>
      <c r="K5" s="106"/>
      <c r="L5" s="106"/>
    </row>
    <row r="6" spans="1:12" ht="36.75" customHeight="1" outlineLevel="1">
      <c r="B6" s="111"/>
      <c r="C6" s="111"/>
      <c r="D6" s="111"/>
      <c r="F6" s="402"/>
      <c r="G6" s="402"/>
      <c r="H6" s="402"/>
    </row>
    <row r="7" spans="1:12" outlineLevel="1">
      <c r="A7" s="112" t="s">
        <v>2</v>
      </c>
      <c r="B7" s="403">
        <v>2024</v>
      </c>
      <c r="C7" s="403"/>
      <c r="D7" s="403"/>
      <c r="E7" s="403"/>
      <c r="F7" s="113"/>
      <c r="G7" s="114"/>
      <c r="H7" s="115" t="s">
        <v>3</v>
      </c>
    </row>
    <row r="8" spans="1:12" ht="15.75" customHeight="1" outlineLevel="1">
      <c r="A8" s="116" t="s">
        <v>4</v>
      </c>
      <c r="B8" s="404" t="s">
        <v>5</v>
      </c>
      <c r="C8" s="404"/>
      <c r="D8" s="404"/>
      <c r="E8" s="404"/>
      <c r="F8" s="273"/>
      <c r="G8" s="117" t="s">
        <v>6</v>
      </c>
      <c r="H8" s="118" t="s">
        <v>7</v>
      </c>
    </row>
    <row r="9" spans="1:12" ht="15.75" customHeight="1" outlineLevel="1">
      <c r="A9" s="119" t="s">
        <v>8</v>
      </c>
      <c r="B9" s="403" t="s">
        <v>9</v>
      </c>
      <c r="C9" s="403"/>
      <c r="D9" s="403"/>
      <c r="E9" s="403"/>
      <c r="F9" s="113"/>
      <c r="G9" s="117" t="s">
        <v>10</v>
      </c>
      <c r="H9" s="115">
        <v>150</v>
      </c>
    </row>
    <row r="10" spans="1:12" outlineLevel="1">
      <c r="A10" s="119" t="s">
        <v>11</v>
      </c>
      <c r="B10" s="403"/>
      <c r="C10" s="403"/>
      <c r="D10" s="403"/>
      <c r="E10" s="403"/>
      <c r="F10" s="113"/>
      <c r="G10" s="117" t="s">
        <v>12</v>
      </c>
      <c r="H10" s="115">
        <v>5922386401</v>
      </c>
    </row>
    <row r="11" spans="1:12" ht="15.75" customHeight="1" outlineLevel="1">
      <c r="A11" s="120" t="s">
        <v>253</v>
      </c>
      <c r="B11" s="403" t="s">
        <v>14</v>
      </c>
      <c r="C11" s="403"/>
      <c r="D11" s="403"/>
      <c r="E11" s="403"/>
      <c r="F11" s="121"/>
      <c r="G11" s="117" t="s">
        <v>15</v>
      </c>
      <c r="H11" s="115"/>
    </row>
    <row r="12" spans="1:12" outlineLevel="1">
      <c r="A12" s="120" t="s">
        <v>16</v>
      </c>
      <c r="B12" s="403"/>
      <c r="C12" s="403"/>
      <c r="D12" s="403"/>
      <c r="E12" s="403"/>
      <c r="F12" s="121"/>
      <c r="G12" s="117" t="s">
        <v>17</v>
      </c>
      <c r="H12" s="115"/>
    </row>
    <row r="13" spans="1:12" outlineLevel="1">
      <c r="A13" s="120" t="s">
        <v>18</v>
      </c>
      <c r="B13" s="403"/>
      <c r="C13" s="403"/>
      <c r="D13" s="403"/>
      <c r="E13" s="403"/>
      <c r="F13" s="121"/>
      <c r="G13" s="117" t="s">
        <v>19</v>
      </c>
      <c r="H13" s="115">
        <v>86.23</v>
      </c>
    </row>
    <row r="14" spans="1:12" ht="15.75" customHeight="1" outlineLevel="1">
      <c r="A14" s="120" t="s">
        <v>20</v>
      </c>
      <c r="B14" s="403"/>
      <c r="C14" s="403"/>
      <c r="D14" s="403"/>
      <c r="E14" s="403"/>
      <c r="F14" s="403" t="s">
        <v>21</v>
      </c>
      <c r="G14" s="405"/>
      <c r="H14" s="122"/>
    </row>
    <row r="15" spans="1:12" ht="15.75" customHeight="1" outlineLevel="1">
      <c r="A15" s="120" t="s">
        <v>22</v>
      </c>
      <c r="B15" s="403" t="s">
        <v>23</v>
      </c>
      <c r="C15" s="403"/>
      <c r="D15" s="403"/>
      <c r="E15" s="403"/>
      <c r="F15" s="403" t="s">
        <v>24</v>
      </c>
      <c r="G15" s="405"/>
      <c r="H15" s="122"/>
    </row>
    <row r="16" spans="1:12" outlineLevel="1">
      <c r="A16" s="120" t="s">
        <v>25</v>
      </c>
      <c r="B16" s="406">
        <f>F152</f>
        <v>109</v>
      </c>
      <c r="C16" s="406"/>
      <c r="D16" s="406"/>
      <c r="E16" s="406"/>
      <c r="F16" s="123"/>
      <c r="G16" s="123"/>
      <c r="H16" s="123"/>
    </row>
    <row r="17" spans="1:10" ht="15.75" customHeight="1" outlineLevel="1">
      <c r="A17" s="119" t="s">
        <v>26</v>
      </c>
      <c r="B17" s="403" t="s">
        <v>27</v>
      </c>
      <c r="C17" s="403"/>
      <c r="D17" s="403"/>
      <c r="E17" s="403"/>
      <c r="F17" s="124"/>
      <c r="G17" s="124"/>
      <c r="H17" s="124"/>
    </row>
    <row r="18" spans="1:10" outlineLevel="1">
      <c r="A18" s="120" t="s">
        <v>28</v>
      </c>
      <c r="B18" s="403" t="s">
        <v>29</v>
      </c>
      <c r="C18" s="403"/>
      <c r="D18" s="403"/>
      <c r="E18" s="403"/>
      <c r="F18" s="123"/>
      <c r="G18" s="123"/>
      <c r="H18" s="123"/>
    </row>
    <row r="19" spans="1:10" ht="15.75" customHeight="1" outlineLevel="1">
      <c r="A19" s="119" t="s">
        <v>30</v>
      </c>
      <c r="B19" s="403" t="s">
        <v>31</v>
      </c>
      <c r="C19" s="403"/>
      <c r="D19" s="403"/>
      <c r="E19" s="403"/>
      <c r="F19" s="124"/>
      <c r="G19" s="124"/>
      <c r="H19" s="124"/>
    </row>
    <row r="20" spans="1:10" ht="19.5" customHeight="1" outlineLevel="1">
      <c r="A20" s="110"/>
      <c r="B20" s="104"/>
      <c r="C20" s="104"/>
      <c r="D20" s="104"/>
      <c r="E20" s="104"/>
      <c r="F20" s="104"/>
      <c r="G20" s="104"/>
      <c r="H20" s="104"/>
    </row>
    <row r="21" spans="1:10" ht="19.5" customHeight="1" outlineLevel="1">
      <c r="A21" s="407" t="s">
        <v>32</v>
      </c>
      <c r="B21" s="407"/>
      <c r="C21" s="407"/>
      <c r="D21" s="407"/>
      <c r="E21" s="407"/>
      <c r="F21" s="407"/>
      <c r="G21" s="407"/>
      <c r="H21" s="407"/>
    </row>
    <row r="22" spans="1:10" outlineLevel="1">
      <c r="A22" s="407" t="s">
        <v>33</v>
      </c>
      <c r="B22" s="407"/>
      <c r="C22" s="407"/>
      <c r="D22" s="407"/>
      <c r="E22" s="407"/>
      <c r="F22" s="407"/>
      <c r="G22" s="407"/>
      <c r="H22" s="407"/>
    </row>
    <row r="23" spans="1:10">
      <c r="A23" s="407" t="s">
        <v>261</v>
      </c>
      <c r="B23" s="407"/>
      <c r="C23" s="407"/>
      <c r="D23" s="407"/>
      <c r="E23" s="407"/>
      <c r="F23" s="407"/>
      <c r="G23" s="407"/>
      <c r="H23" s="407"/>
    </row>
    <row r="24" spans="1:10">
      <c r="A24" s="408" t="s">
        <v>34</v>
      </c>
      <c r="B24" s="408"/>
      <c r="C24" s="408"/>
      <c r="D24" s="408"/>
      <c r="E24" s="408"/>
      <c r="F24" s="408"/>
      <c r="G24" s="408"/>
      <c r="H24" s="408"/>
    </row>
    <row r="25" spans="1:10" ht="9" customHeight="1">
      <c r="A25" s="125"/>
      <c r="B25" s="125"/>
      <c r="C25" s="125"/>
      <c r="D25" s="125"/>
      <c r="E25" s="125"/>
      <c r="F25" s="125"/>
      <c r="G25" s="125"/>
      <c r="H25" s="125"/>
    </row>
    <row r="26" spans="1:10">
      <c r="A26" s="407" t="s">
        <v>35</v>
      </c>
      <c r="B26" s="407"/>
      <c r="C26" s="407"/>
      <c r="D26" s="407"/>
      <c r="E26" s="407"/>
      <c r="F26" s="407"/>
      <c r="G26" s="407"/>
      <c r="H26" s="407"/>
    </row>
    <row r="27" spans="1:10" ht="12" customHeight="1">
      <c r="B27" s="126"/>
      <c r="C27" s="126"/>
      <c r="D27" s="126"/>
      <c r="E27" s="126"/>
      <c r="F27" s="126"/>
      <c r="G27" s="126"/>
      <c r="H27" s="126"/>
    </row>
    <row r="28" spans="1:10" ht="48.75" customHeight="1">
      <c r="A28" s="409" t="s">
        <v>36</v>
      </c>
      <c r="B28" s="411" t="s">
        <v>37</v>
      </c>
      <c r="C28" s="413" t="s">
        <v>38</v>
      </c>
      <c r="D28" s="414"/>
      <c r="E28" s="415" t="s">
        <v>265</v>
      </c>
      <c r="F28" s="416"/>
      <c r="G28" s="416"/>
      <c r="H28" s="417"/>
    </row>
    <row r="29" spans="1:10" ht="32.25" customHeight="1">
      <c r="A29" s="410"/>
      <c r="B29" s="412"/>
      <c r="C29" s="144" t="s">
        <v>39</v>
      </c>
      <c r="D29" s="144" t="s">
        <v>40</v>
      </c>
      <c r="E29" s="144" t="s">
        <v>41</v>
      </c>
      <c r="F29" s="144" t="s">
        <v>42</v>
      </c>
      <c r="G29" s="144" t="s">
        <v>43</v>
      </c>
      <c r="H29" s="144" t="s">
        <v>44</v>
      </c>
    </row>
    <row r="30" spans="1:10">
      <c r="A30" s="143">
        <v>1</v>
      </c>
      <c r="B30" s="144">
        <v>2</v>
      </c>
      <c r="C30" s="143">
        <v>3</v>
      </c>
      <c r="D30" s="144">
        <v>4</v>
      </c>
      <c r="E30" s="143">
        <v>5</v>
      </c>
      <c r="F30" s="144">
        <v>6</v>
      </c>
      <c r="G30" s="143">
        <v>7</v>
      </c>
      <c r="H30" s="144">
        <v>8</v>
      </c>
    </row>
    <row r="31" spans="1:10" s="127" customFormat="1" ht="19.5" customHeight="1">
      <c r="A31" s="418" t="s">
        <v>45</v>
      </c>
      <c r="B31" s="419"/>
      <c r="C31" s="419"/>
      <c r="D31" s="419"/>
      <c r="E31" s="419"/>
      <c r="F31" s="419"/>
      <c r="G31" s="419"/>
      <c r="H31" s="420"/>
    </row>
    <row r="32" spans="1:10" s="127" customFormat="1">
      <c r="A32" s="146" t="s">
        <v>46</v>
      </c>
      <c r="B32" s="143">
        <v>1000</v>
      </c>
      <c r="C32" s="178">
        <f>C33+C36+C37+C40</f>
        <v>5123.1000000000004</v>
      </c>
      <c r="D32" s="178">
        <f>D33+D36+D37+D40</f>
        <v>5914.7</v>
      </c>
      <c r="E32" s="178">
        <f>E33+E36+E37+E40</f>
        <v>7799.129780799999</v>
      </c>
      <c r="F32" s="178">
        <f>F33+F36+F40+F37</f>
        <v>5914.7</v>
      </c>
      <c r="G32" s="178">
        <f>F32-E32</f>
        <v>-1884.4297807999992</v>
      </c>
      <c r="H32" s="179">
        <f>(F32/E32)*100</f>
        <v>75.83794815879186</v>
      </c>
      <c r="I32" s="128"/>
      <c r="J32" s="128"/>
    </row>
    <row r="33" spans="1:11" s="127" customFormat="1">
      <c r="A33" s="146" t="s">
        <v>47</v>
      </c>
      <c r="B33" s="143">
        <v>1010</v>
      </c>
      <c r="C33" s="180">
        <f>C34+C35</f>
        <v>4706</v>
      </c>
      <c r="D33" s="178">
        <f>D34+D35</f>
        <v>5563.5999999999995</v>
      </c>
      <c r="E33" s="178">
        <f>E34+E35</f>
        <v>5652.7381033126285</v>
      </c>
      <c r="F33" s="178">
        <f>F34+F35</f>
        <v>5563.5999999999995</v>
      </c>
      <c r="G33" s="178">
        <f>F33-E33</f>
        <v>-89.138103312629028</v>
      </c>
      <c r="H33" s="179">
        <f>(F33/E33)*100</f>
        <v>98.423098652661935</v>
      </c>
      <c r="I33" s="128"/>
    </row>
    <row r="34" spans="1:11" s="127" customFormat="1">
      <c r="A34" s="150" t="s">
        <v>48</v>
      </c>
      <c r="B34" s="143">
        <v>1011</v>
      </c>
      <c r="C34" s="149">
        <f>'2023'!C34</f>
        <v>234.78</v>
      </c>
      <c r="D34" s="147">
        <f t="shared" ref="D34:D39" si="0">F34</f>
        <v>0</v>
      </c>
      <c r="E34" s="147"/>
      <c r="F34" s="147"/>
      <c r="G34" s="147"/>
      <c r="H34" s="148"/>
      <c r="I34" s="128"/>
    </row>
    <row r="35" spans="1:11" s="127" customFormat="1" ht="30.75" customHeight="1">
      <c r="A35" s="150" t="s">
        <v>49</v>
      </c>
      <c r="B35" s="143">
        <v>1012</v>
      </c>
      <c r="C35" s="149">
        <f>'2023'!C35</f>
        <v>4471.22</v>
      </c>
      <c r="D35" s="147">
        <f t="shared" si="0"/>
        <v>5563.5999999999995</v>
      </c>
      <c r="E35" s="147">
        <f>план!G40</f>
        <v>5652.7381033126285</v>
      </c>
      <c r="F35" s="147">
        <f>5568.9-5.3</f>
        <v>5563.5999999999995</v>
      </c>
      <c r="G35" s="147">
        <f>F35-E35</f>
        <v>-89.138103312629028</v>
      </c>
      <c r="H35" s="148">
        <f>(F35/E35)*100</f>
        <v>98.423098652661935</v>
      </c>
      <c r="I35" s="128"/>
      <c r="J35" s="130"/>
      <c r="K35" s="129"/>
    </row>
    <row r="36" spans="1:11" s="127" customFormat="1" ht="19.5" customHeight="1">
      <c r="A36" s="146" t="s">
        <v>50</v>
      </c>
      <c r="B36" s="143">
        <v>1020</v>
      </c>
      <c r="C36" s="180"/>
      <c r="D36" s="147">
        <f t="shared" si="0"/>
        <v>0</v>
      </c>
      <c r="E36" s="147">
        <f>план!G41</f>
        <v>900</v>
      </c>
      <c r="F36" s="178"/>
      <c r="G36" s="147">
        <f>F36-E36</f>
        <v>-900</v>
      </c>
      <c r="H36" s="148">
        <f>(F36/E36)*100</f>
        <v>0</v>
      </c>
      <c r="I36" s="128"/>
    </row>
    <row r="37" spans="1:11" s="127" customFormat="1" ht="19.5" customHeight="1">
      <c r="A37" s="146" t="s">
        <v>51</v>
      </c>
      <c r="B37" s="143">
        <v>1030</v>
      </c>
      <c r="C37" s="180">
        <f>C38+C39</f>
        <v>258.10000000000002</v>
      </c>
      <c r="D37" s="178">
        <f t="shared" si="0"/>
        <v>345.8</v>
      </c>
      <c r="E37" s="178">
        <f>E39+E38</f>
        <v>1246.3916774873705</v>
      </c>
      <c r="F37" s="178">
        <f>F38+F39</f>
        <v>345.8</v>
      </c>
      <c r="G37" s="178">
        <f>F37-E37</f>
        <v>-900.59167748737059</v>
      </c>
      <c r="H37" s="179">
        <f>(F37/E37)*100</f>
        <v>27.744087692971934</v>
      </c>
      <c r="I37" s="128"/>
    </row>
    <row r="38" spans="1:11" s="127" customFormat="1" ht="18.75" customHeight="1">
      <c r="A38" s="151" t="s">
        <v>262</v>
      </c>
      <c r="B38" s="143">
        <v>1031</v>
      </c>
      <c r="C38" s="149">
        <f>'2023'!C38</f>
        <v>258.10000000000002</v>
      </c>
      <c r="D38" s="147">
        <f t="shared" si="0"/>
        <v>320.8</v>
      </c>
      <c r="E38" s="147">
        <f>план!G43</f>
        <v>554.39167748737066</v>
      </c>
      <c r="F38" s="147">
        <v>320.8</v>
      </c>
      <c r="G38" s="147">
        <f>F38-E38</f>
        <v>-233.59167748737065</v>
      </c>
      <c r="H38" s="148">
        <f>(F38/E38)*100</f>
        <v>57.865226522508181</v>
      </c>
      <c r="I38" s="128"/>
      <c r="J38" s="177"/>
    </row>
    <row r="39" spans="1:11" s="127" customFormat="1" ht="17.25" customHeight="1">
      <c r="A39" s="151" t="s">
        <v>263</v>
      </c>
      <c r="B39" s="143">
        <v>1032</v>
      </c>
      <c r="C39" s="149"/>
      <c r="D39" s="147">
        <f t="shared" si="0"/>
        <v>25</v>
      </c>
      <c r="E39" s="147">
        <f>план!G44</f>
        <v>692</v>
      </c>
      <c r="F39" s="147">
        <v>25</v>
      </c>
      <c r="G39" s="147">
        <f>F39-E39</f>
        <v>-667</v>
      </c>
      <c r="H39" s="148">
        <f>(F39/E39)*100</f>
        <v>3.6127167630057806</v>
      </c>
      <c r="I39" s="128"/>
    </row>
    <row r="40" spans="1:11" s="127" customFormat="1">
      <c r="A40" s="146" t="s">
        <v>53</v>
      </c>
      <c r="B40" s="143">
        <v>1040</v>
      </c>
      <c r="C40" s="180">
        <f>C41+C42+C43+C44+C45</f>
        <v>159</v>
      </c>
      <c r="D40" s="178">
        <f>D41+D42+D43+D44+D45</f>
        <v>5.3</v>
      </c>
      <c r="E40" s="147">
        <f>план!G45</f>
        <v>0</v>
      </c>
      <c r="F40" s="178">
        <f>F41+F42+F43+F44+F45</f>
        <v>5.3</v>
      </c>
      <c r="G40" s="178">
        <f t="shared" ref="G40:G48" si="1">F40-E40</f>
        <v>5.3</v>
      </c>
      <c r="H40" s="179"/>
      <c r="I40" s="128"/>
    </row>
    <row r="41" spans="1:11" s="127" customFormat="1">
      <c r="A41" s="150" t="s">
        <v>54</v>
      </c>
      <c r="B41" s="143">
        <v>1041</v>
      </c>
      <c r="C41" s="147">
        <f>'2023'!C41</f>
        <v>0</v>
      </c>
      <c r="D41" s="147">
        <f>F41</f>
        <v>0</v>
      </c>
      <c r="E41" s="147"/>
      <c r="F41" s="147"/>
      <c r="G41" s="147">
        <f t="shared" si="1"/>
        <v>0</v>
      </c>
      <c r="H41" s="148"/>
      <c r="I41" s="128"/>
    </row>
    <row r="42" spans="1:11" s="127" customFormat="1">
      <c r="A42" s="150" t="s">
        <v>55</v>
      </c>
      <c r="B42" s="143">
        <v>1042</v>
      </c>
      <c r="C42" s="147">
        <f>'2023'!C42</f>
        <v>0</v>
      </c>
      <c r="D42" s="147"/>
      <c r="E42" s="147"/>
      <c r="F42" s="147"/>
      <c r="G42" s="147">
        <f t="shared" si="1"/>
        <v>0</v>
      </c>
      <c r="H42" s="148"/>
      <c r="I42" s="128"/>
    </row>
    <row r="43" spans="1:11" s="127" customFormat="1">
      <c r="A43" s="154" t="s">
        <v>56</v>
      </c>
      <c r="B43" s="143">
        <v>1043</v>
      </c>
      <c r="C43" s="147">
        <f>'2023'!C43</f>
        <v>0</v>
      </c>
      <c r="D43" s="147"/>
      <c r="E43" s="147"/>
      <c r="F43" s="147"/>
      <c r="G43" s="147">
        <f t="shared" si="1"/>
        <v>0</v>
      </c>
      <c r="H43" s="148"/>
      <c r="I43" s="128"/>
    </row>
    <row r="44" spans="1:11" s="127" customFormat="1">
      <c r="A44" s="154" t="s">
        <v>57</v>
      </c>
      <c r="B44" s="143">
        <v>1044</v>
      </c>
      <c r="C44" s="147">
        <f>'2023'!C44</f>
        <v>159</v>
      </c>
      <c r="D44" s="147">
        <f>F44</f>
        <v>5.3</v>
      </c>
      <c r="E44" s="147"/>
      <c r="F44" s="147">
        <v>5.3</v>
      </c>
      <c r="G44" s="147">
        <f t="shared" si="1"/>
        <v>5.3</v>
      </c>
      <c r="H44" s="148"/>
      <c r="I44" s="128"/>
    </row>
    <row r="45" spans="1:11" s="127" customFormat="1">
      <c r="A45" s="155" t="s">
        <v>254</v>
      </c>
      <c r="B45" s="143">
        <v>1045</v>
      </c>
      <c r="C45" s="147">
        <f>C46+C47</f>
        <v>0</v>
      </c>
      <c r="D45" s="147">
        <f>D46+D47</f>
        <v>0</v>
      </c>
      <c r="E45" s="147">
        <f>E46+E47</f>
        <v>0</v>
      </c>
      <c r="F45" s="147">
        <f>F46+F47</f>
        <v>0</v>
      </c>
      <c r="G45" s="147">
        <f t="shared" si="1"/>
        <v>0</v>
      </c>
      <c r="H45" s="148"/>
      <c r="I45" s="128"/>
    </row>
    <row r="46" spans="1:11" s="127" customFormat="1">
      <c r="A46" s="155" t="s">
        <v>59</v>
      </c>
      <c r="B46" s="143" t="s">
        <v>60</v>
      </c>
      <c r="C46" s="147"/>
      <c r="D46" s="147">
        <f>F46</f>
        <v>0</v>
      </c>
      <c r="E46" s="147">
        <f>план!G51</f>
        <v>0</v>
      </c>
      <c r="F46" s="147"/>
      <c r="G46" s="147">
        <f t="shared" si="1"/>
        <v>0</v>
      </c>
      <c r="H46" s="148"/>
      <c r="I46" s="128"/>
    </row>
    <row r="47" spans="1:11" s="127" customFormat="1">
      <c r="A47" s="155"/>
      <c r="B47" s="143"/>
      <c r="C47" s="149"/>
      <c r="D47" s="147"/>
      <c r="E47" s="147"/>
      <c r="F47" s="147"/>
      <c r="G47" s="147">
        <f t="shared" si="1"/>
        <v>0</v>
      </c>
      <c r="H47" s="148"/>
      <c r="I47" s="128"/>
    </row>
    <row r="48" spans="1:11" s="127" customFormat="1">
      <c r="A48" s="156" t="s">
        <v>62</v>
      </c>
      <c r="B48" s="143">
        <v>2000</v>
      </c>
      <c r="C48" s="178">
        <f>C49+C74</f>
        <v>5606.3779999999997</v>
      </c>
      <c r="D48" s="178">
        <f>D49+D74</f>
        <v>5512.3120000000008</v>
      </c>
      <c r="E48" s="178">
        <f>E49+E74</f>
        <v>7799.129780799999</v>
      </c>
      <c r="F48" s="178">
        <f>F49+F74</f>
        <v>5512.3120000000008</v>
      </c>
      <c r="G48" s="178">
        <f t="shared" si="1"/>
        <v>-2286.8177807999982</v>
      </c>
      <c r="H48" s="179">
        <f t="shared" ref="H48:H54" si="2">(F48/E48)*100</f>
        <v>70.678552029872392</v>
      </c>
      <c r="I48" s="128"/>
      <c r="J48" s="128"/>
    </row>
    <row r="49" spans="1:14" s="127" customFormat="1">
      <c r="A49" s="157" t="s">
        <v>63</v>
      </c>
      <c r="B49" s="143">
        <v>2010</v>
      </c>
      <c r="C49" s="180">
        <f>C50+C51+C52+C66+C67+C68+C72+C73</f>
        <v>5606.3779999999997</v>
      </c>
      <c r="D49" s="180">
        <f>D50+D51+D52+D66+D67+D68+D72+D73</f>
        <v>5512.3120000000008</v>
      </c>
      <c r="E49" s="180">
        <f>E50+E51+E52+E66+E67+E68+E72+E73</f>
        <v>7799.129780799999</v>
      </c>
      <c r="F49" s="178">
        <f>F50+F51+F52+F66+F67+F68+F72+F73</f>
        <v>5512.3120000000008</v>
      </c>
      <c r="G49" s="178">
        <f>G50+G51+G52+G66+G67+G68+G72+G73</f>
        <v>-2286.8177807999987</v>
      </c>
      <c r="H49" s="179">
        <f t="shared" si="2"/>
        <v>70.678552029872392</v>
      </c>
      <c r="I49" s="128"/>
    </row>
    <row r="50" spans="1:14" s="127" customFormat="1">
      <c r="A50" s="158" t="s">
        <v>64</v>
      </c>
      <c r="B50" s="143">
        <v>2010</v>
      </c>
      <c r="C50" s="147">
        <f>'2023'!C50</f>
        <v>3853.4</v>
      </c>
      <c r="D50" s="147">
        <f>F50</f>
        <v>3819.6</v>
      </c>
      <c r="E50" s="147">
        <f>план!G55</f>
        <v>5118.7649999999994</v>
      </c>
      <c r="F50" s="147">
        <f>F166</f>
        <v>3819.6</v>
      </c>
      <c r="G50" s="147">
        <f t="shared" ref="G50:G92" si="3">F50-E50</f>
        <v>-1299.1649999999995</v>
      </c>
      <c r="H50" s="148">
        <f t="shared" si="2"/>
        <v>74.619561554398388</v>
      </c>
      <c r="I50" s="128"/>
      <c r="J50" s="128"/>
      <c r="N50" s="130"/>
    </row>
    <row r="51" spans="1:14" s="127" customFormat="1">
      <c r="A51" s="158" t="s">
        <v>65</v>
      </c>
      <c r="B51" s="143">
        <v>2011</v>
      </c>
      <c r="C51" s="147">
        <f>'2023'!C51</f>
        <v>874.94799999999987</v>
      </c>
      <c r="D51" s="147">
        <f>F51</f>
        <v>851.31200000000035</v>
      </c>
      <c r="E51" s="147">
        <f>план!G56</f>
        <v>1126.1282999999994</v>
      </c>
      <c r="F51" s="147">
        <f>F103</f>
        <v>851.31200000000035</v>
      </c>
      <c r="G51" s="147">
        <f t="shared" si="3"/>
        <v>-274.81629999999905</v>
      </c>
      <c r="H51" s="148">
        <f t="shared" si="2"/>
        <v>75.596359668787372</v>
      </c>
      <c r="I51" s="128"/>
    </row>
    <row r="52" spans="1:14" s="127" customFormat="1">
      <c r="A52" s="159" t="s">
        <v>66</v>
      </c>
      <c r="B52" s="143">
        <v>2020</v>
      </c>
      <c r="C52" s="180">
        <f>C53+C54+C55+C56+C57+C58+C59</f>
        <v>692.53</v>
      </c>
      <c r="D52" s="180">
        <f>D53+D54+D55+D56+D57+D58+D59</f>
        <v>733.7</v>
      </c>
      <c r="E52" s="178">
        <f>E53+E54+E55+E56+E57+E58+E59</f>
        <v>1442.6364808000001</v>
      </c>
      <c r="F52" s="178">
        <f>F53+F54+F55+F56+F57+F58+F59</f>
        <v>733.7</v>
      </c>
      <c r="G52" s="178">
        <f t="shared" si="3"/>
        <v>-708.93648080000003</v>
      </c>
      <c r="H52" s="179">
        <f t="shared" si="2"/>
        <v>50.858273013665503</v>
      </c>
      <c r="I52" s="128"/>
    </row>
    <row r="53" spans="1:14" s="127" customFormat="1">
      <c r="A53" s="158" t="s">
        <v>67</v>
      </c>
      <c r="B53" s="143">
        <v>2021</v>
      </c>
      <c r="C53" s="147">
        <f>'2023'!C53</f>
        <v>40.9</v>
      </c>
      <c r="D53" s="147">
        <f t="shared" ref="D53:D58" si="4">F53</f>
        <v>34.700000000000003</v>
      </c>
      <c r="E53" s="147">
        <f>план!G58</f>
        <v>100</v>
      </c>
      <c r="F53" s="147">
        <v>34.700000000000003</v>
      </c>
      <c r="G53" s="147">
        <f t="shared" si="3"/>
        <v>-65.3</v>
      </c>
      <c r="H53" s="148">
        <f t="shared" si="2"/>
        <v>34.700000000000003</v>
      </c>
      <c r="I53" s="128"/>
    </row>
    <row r="54" spans="1:14" s="127" customFormat="1">
      <c r="A54" s="158" t="s">
        <v>68</v>
      </c>
      <c r="B54" s="143">
        <v>2022</v>
      </c>
      <c r="C54" s="147">
        <f>'2023'!C54</f>
        <v>328.9</v>
      </c>
      <c r="D54" s="147">
        <f t="shared" si="4"/>
        <v>339.8</v>
      </c>
      <c r="E54" s="147">
        <f>план!G59</f>
        <v>750</v>
      </c>
      <c r="F54" s="147">
        <f>372.5-32.7</f>
        <v>339.8</v>
      </c>
      <c r="G54" s="147">
        <f t="shared" si="3"/>
        <v>-410.2</v>
      </c>
      <c r="H54" s="148">
        <f t="shared" si="2"/>
        <v>45.306666666666665</v>
      </c>
      <c r="I54" s="128"/>
    </row>
    <row r="55" spans="1:14" s="127" customFormat="1">
      <c r="A55" s="158" t="s">
        <v>69</v>
      </c>
      <c r="B55" s="143">
        <v>2023</v>
      </c>
      <c r="C55" s="147">
        <f>'2023'!C55</f>
        <v>0</v>
      </c>
      <c r="D55" s="147">
        <f t="shared" si="4"/>
        <v>0</v>
      </c>
      <c r="E55" s="147">
        <f>план!G60</f>
        <v>0</v>
      </c>
      <c r="F55" s="147"/>
      <c r="G55" s="147">
        <f t="shared" si="3"/>
        <v>0</v>
      </c>
      <c r="H55" s="148"/>
      <c r="I55" s="128"/>
    </row>
    <row r="56" spans="1:14" s="127" customFormat="1">
      <c r="A56" s="158" t="s">
        <v>70</v>
      </c>
      <c r="B56" s="143">
        <v>2024</v>
      </c>
      <c r="C56" s="147">
        <f>'2023'!C56</f>
        <v>89.7</v>
      </c>
      <c r="D56" s="147">
        <f t="shared" si="4"/>
        <v>83</v>
      </c>
      <c r="E56" s="147">
        <f>план!G61</f>
        <v>110</v>
      </c>
      <c r="F56" s="147">
        <v>83</v>
      </c>
      <c r="G56" s="147">
        <f t="shared" si="3"/>
        <v>-27</v>
      </c>
      <c r="H56" s="148">
        <f>(F56/E56)*100</f>
        <v>75.454545454545453</v>
      </c>
      <c r="I56" s="128"/>
    </row>
    <row r="57" spans="1:14" s="127" customFormat="1">
      <c r="A57" s="158" t="s">
        <v>71</v>
      </c>
      <c r="B57" s="143">
        <v>2025</v>
      </c>
      <c r="C57" s="147">
        <f>'2023'!C57</f>
        <v>0.1</v>
      </c>
      <c r="D57" s="147">
        <f t="shared" si="4"/>
        <v>0</v>
      </c>
      <c r="E57" s="147">
        <f>план!G62</f>
        <v>0</v>
      </c>
      <c r="F57" s="147"/>
      <c r="G57" s="147">
        <f t="shared" si="3"/>
        <v>0</v>
      </c>
      <c r="H57" s="148"/>
      <c r="I57" s="128"/>
    </row>
    <row r="58" spans="1:14" s="127" customFormat="1">
      <c r="A58" s="158" t="s">
        <v>72</v>
      </c>
      <c r="B58" s="143">
        <v>2026</v>
      </c>
      <c r="C58" s="147">
        <f>'2023'!C58</f>
        <v>0</v>
      </c>
      <c r="D58" s="147">
        <f t="shared" si="4"/>
        <v>0</v>
      </c>
      <c r="E58" s="147">
        <f>план!G63</f>
        <v>0</v>
      </c>
      <c r="F58" s="147"/>
      <c r="G58" s="147">
        <f t="shared" si="3"/>
        <v>0</v>
      </c>
      <c r="H58" s="148"/>
      <c r="I58" s="128"/>
    </row>
    <row r="59" spans="1:14" s="127" customFormat="1">
      <c r="A59" s="158" t="s">
        <v>73</v>
      </c>
      <c r="B59" s="143">
        <v>2027</v>
      </c>
      <c r="C59" s="147">
        <f>'2023'!C59</f>
        <v>232.93</v>
      </c>
      <c r="D59" s="149">
        <f>D60+D61+D62+D63+D64+D65</f>
        <v>276.20000000000005</v>
      </c>
      <c r="E59" s="149">
        <f>E60+E61+E62+E63+E64+E65</f>
        <v>482.63648080000002</v>
      </c>
      <c r="F59" s="149">
        <f>F60+F61+F62+F63+F64+F65</f>
        <v>276.20000000000005</v>
      </c>
      <c r="G59" s="147">
        <f t="shared" si="3"/>
        <v>-206.43648079999997</v>
      </c>
      <c r="H59" s="148">
        <f>(F59/E59)*100</f>
        <v>57.227335891017049</v>
      </c>
      <c r="I59" s="128"/>
    </row>
    <row r="60" spans="1:14" s="127" customFormat="1">
      <c r="A60" s="158" t="s">
        <v>74</v>
      </c>
      <c r="B60" s="143">
        <v>2028</v>
      </c>
      <c r="C60" s="147">
        <f>'2023'!C60</f>
        <v>130.9</v>
      </c>
      <c r="D60" s="149">
        <f>F60</f>
        <v>158.5</v>
      </c>
      <c r="E60" s="149">
        <f>план!G65</f>
        <v>265.16145599999999</v>
      </c>
      <c r="F60" s="149">
        <v>158.5</v>
      </c>
      <c r="G60" s="149">
        <f t="shared" si="3"/>
        <v>-106.66145599999999</v>
      </c>
      <c r="H60" s="148">
        <f>(F60/E60)*100</f>
        <v>59.774901824343587</v>
      </c>
      <c r="I60" s="128"/>
    </row>
    <row r="61" spans="1:14" s="127" customFormat="1">
      <c r="A61" s="158" t="s">
        <v>75</v>
      </c>
      <c r="B61" s="143">
        <v>2029</v>
      </c>
      <c r="C61" s="147">
        <f>'2023'!C61</f>
        <v>6.53</v>
      </c>
      <c r="D61" s="149">
        <f>F61</f>
        <v>3.3</v>
      </c>
      <c r="E61" s="149">
        <f>план!G66</f>
        <v>16.351372799999996</v>
      </c>
      <c r="F61" s="149">
        <v>3.3</v>
      </c>
      <c r="G61" s="149">
        <f t="shared" si="3"/>
        <v>-13.051372799999996</v>
      </c>
      <c r="H61" s="148">
        <f>(F61/E61)*100</f>
        <v>20.181791708644798</v>
      </c>
      <c r="I61" s="128"/>
    </row>
    <row r="62" spans="1:14" s="127" customFormat="1">
      <c r="A62" s="158" t="s">
        <v>76</v>
      </c>
      <c r="B62" s="143">
        <v>2030</v>
      </c>
      <c r="C62" s="147">
        <f>'2023'!C62</f>
        <v>95.5</v>
      </c>
      <c r="D62" s="149">
        <f>F62</f>
        <v>113.3</v>
      </c>
      <c r="E62" s="149">
        <f>план!G67</f>
        <v>197.02025200000003</v>
      </c>
      <c r="F62" s="149">
        <v>113.3</v>
      </c>
      <c r="G62" s="149">
        <f t="shared" si="3"/>
        <v>-83.720252000000031</v>
      </c>
      <c r="H62" s="148">
        <f>(F62/E62)*100</f>
        <v>57.506778541730817</v>
      </c>
      <c r="I62" s="128"/>
    </row>
    <row r="63" spans="1:14" s="127" customFormat="1">
      <c r="A63" s="158" t="s">
        <v>77</v>
      </c>
      <c r="B63" s="143">
        <v>2031</v>
      </c>
      <c r="C63" s="147">
        <f>'2023'!C63</f>
        <v>0</v>
      </c>
      <c r="D63" s="149">
        <f>F63</f>
        <v>0</v>
      </c>
      <c r="E63" s="149">
        <f>план!G68</f>
        <v>0</v>
      </c>
      <c r="F63" s="149"/>
      <c r="G63" s="149">
        <f t="shared" si="3"/>
        <v>0</v>
      </c>
      <c r="H63" s="148"/>
      <c r="I63" s="128"/>
    </row>
    <row r="64" spans="1:14" s="127" customFormat="1" ht="16.5" customHeight="1">
      <c r="A64" s="158" t="s">
        <v>78</v>
      </c>
      <c r="B64" s="143">
        <v>2032</v>
      </c>
      <c r="C64" s="147">
        <f>'2023'!C64</f>
        <v>0</v>
      </c>
      <c r="D64" s="149">
        <f>F64</f>
        <v>1.1000000000000001</v>
      </c>
      <c r="E64" s="149">
        <f>план!G69</f>
        <v>4.1033999999999997</v>
      </c>
      <c r="F64" s="149">
        <v>1.1000000000000001</v>
      </c>
      <c r="G64" s="149">
        <f t="shared" si="3"/>
        <v>-3.0033999999999996</v>
      </c>
      <c r="H64" s="148">
        <f>(F64/E64)*100</f>
        <v>26.80703806599406</v>
      </c>
      <c r="I64" s="128"/>
    </row>
    <row r="65" spans="1:9" s="127" customFormat="1">
      <c r="A65" s="158" t="s">
        <v>79</v>
      </c>
      <c r="B65" s="143">
        <v>2033</v>
      </c>
      <c r="C65" s="147">
        <f>'2023'!C65</f>
        <v>0</v>
      </c>
      <c r="D65" s="149"/>
      <c r="E65" s="149"/>
      <c r="F65" s="149"/>
      <c r="G65" s="149">
        <f t="shared" si="3"/>
        <v>0</v>
      </c>
      <c r="H65" s="148"/>
      <c r="I65" s="128"/>
    </row>
    <row r="66" spans="1:9" s="127" customFormat="1" ht="34.5" customHeight="1">
      <c r="A66" s="158" t="s">
        <v>80</v>
      </c>
      <c r="B66" s="143">
        <v>2030</v>
      </c>
      <c r="C66" s="147">
        <f>'2023'!C66</f>
        <v>0</v>
      </c>
      <c r="D66" s="180"/>
      <c r="E66" s="149"/>
      <c r="F66" s="149"/>
      <c r="G66" s="149">
        <f t="shared" si="3"/>
        <v>0</v>
      </c>
      <c r="H66" s="148"/>
      <c r="I66" s="128"/>
    </row>
    <row r="67" spans="1:9" s="127" customFormat="1">
      <c r="A67" s="158" t="s">
        <v>81</v>
      </c>
      <c r="B67" s="143">
        <v>2040</v>
      </c>
      <c r="C67" s="147">
        <f>'2023'!C67</f>
        <v>0</v>
      </c>
      <c r="D67" s="149"/>
      <c r="E67" s="149"/>
      <c r="F67" s="149"/>
      <c r="G67" s="149">
        <f t="shared" si="3"/>
        <v>0</v>
      </c>
      <c r="H67" s="148"/>
      <c r="I67" s="128"/>
    </row>
    <row r="68" spans="1:9" s="127" customFormat="1">
      <c r="A68" s="158" t="s">
        <v>82</v>
      </c>
      <c r="B68" s="143">
        <v>2050</v>
      </c>
      <c r="C68" s="147">
        <f>'2023'!C68</f>
        <v>26.5</v>
      </c>
      <c r="D68" s="149">
        <f>D69+D70+D71</f>
        <v>26.6</v>
      </c>
      <c r="E68" s="149">
        <f>E69+E70+E71</f>
        <v>27</v>
      </c>
      <c r="F68" s="149">
        <f>F69+F70+F71</f>
        <v>26.6</v>
      </c>
      <c r="G68" s="149">
        <f t="shared" si="3"/>
        <v>-0.39999999999999858</v>
      </c>
      <c r="H68" s="148">
        <f>(F68/E68)*100</f>
        <v>98.518518518518533</v>
      </c>
      <c r="I68" s="128"/>
    </row>
    <row r="69" spans="1:9" s="127" customFormat="1">
      <c r="A69" s="158" t="s">
        <v>83</v>
      </c>
      <c r="B69" s="143">
        <v>2051</v>
      </c>
      <c r="C69" s="147">
        <f>'2023'!C69</f>
        <v>26.5</v>
      </c>
      <c r="D69" s="149">
        <f>F69</f>
        <v>26.6</v>
      </c>
      <c r="E69" s="149">
        <f>план!G74</f>
        <v>27</v>
      </c>
      <c r="F69" s="149">
        <v>26.6</v>
      </c>
      <c r="G69" s="149">
        <f t="shared" si="3"/>
        <v>-0.39999999999999858</v>
      </c>
      <c r="H69" s="148">
        <f>(F69/E69)*100</f>
        <v>98.518518518518533</v>
      </c>
      <c r="I69" s="128"/>
    </row>
    <row r="70" spans="1:9" s="127" customFormat="1">
      <c r="A70" s="158" t="s">
        <v>84</v>
      </c>
      <c r="B70" s="143">
        <v>2052</v>
      </c>
      <c r="C70" s="147">
        <f>'2023'!C70</f>
        <v>0</v>
      </c>
      <c r="D70" s="149"/>
      <c r="E70" s="149"/>
      <c r="F70" s="149"/>
      <c r="G70" s="149">
        <f t="shared" si="3"/>
        <v>0</v>
      </c>
      <c r="H70" s="148"/>
      <c r="I70" s="128"/>
    </row>
    <row r="71" spans="1:9" s="127" customFormat="1">
      <c r="A71" s="158" t="s">
        <v>255</v>
      </c>
      <c r="B71" s="143">
        <v>2053</v>
      </c>
      <c r="C71" s="147">
        <f>'2023'!C71</f>
        <v>0</v>
      </c>
      <c r="D71" s="149"/>
      <c r="E71" s="149"/>
      <c r="F71" s="149"/>
      <c r="G71" s="149">
        <f t="shared" si="3"/>
        <v>0</v>
      </c>
      <c r="H71" s="148"/>
      <c r="I71" s="128"/>
    </row>
    <row r="72" spans="1:9" s="127" customFormat="1">
      <c r="A72" s="158" t="s">
        <v>86</v>
      </c>
      <c r="B72" s="143">
        <v>2060</v>
      </c>
      <c r="C72" s="147">
        <f>'2023'!C72</f>
        <v>159</v>
      </c>
      <c r="D72" s="149">
        <f>F72</f>
        <v>81.099999999999994</v>
      </c>
      <c r="E72" s="149">
        <f>план!G77</f>
        <v>84.6</v>
      </c>
      <c r="F72" s="149">
        <v>81.099999999999994</v>
      </c>
      <c r="G72" s="149">
        <f t="shared" si="3"/>
        <v>-3.5</v>
      </c>
      <c r="H72" s="148">
        <f>(F72/E72)*100</f>
        <v>95.862884160756494</v>
      </c>
      <c r="I72" s="128"/>
    </row>
    <row r="73" spans="1:9" s="127" customFormat="1">
      <c r="A73" s="158" t="s">
        <v>256</v>
      </c>
      <c r="B73" s="143">
        <v>2070</v>
      </c>
      <c r="C73" s="147">
        <f>'2023'!C73</f>
        <v>0</v>
      </c>
      <c r="D73" s="149"/>
      <c r="E73" s="149"/>
      <c r="F73" s="149"/>
      <c r="G73" s="149">
        <f t="shared" si="3"/>
        <v>0</v>
      </c>
      <c r="H73" s="148"/>
      <c r="I73" s="128"/>
    </row>
    <row r="74" spans="1:9" s="127" customFormat="1">
      <c r="A74" s="157" t="s">
        <v>88</v>
      </c>
      <c r="B74" s="143">
        <v>2100</v>
      </c>
      <c r="C74" s="147">
        <f>'2023'!C74</f>
        <v>0</v>
      </c>
      <c r="D74" s="152">
        <f>D75+D76+D79+D82+D86+D87</f>
        <v>0</v>
      </c>
      <c r="E74" s="152">
        <f>E75+E76+E79+E82+E86+E87</f>
        <v>0</v>
      </c>
      <c r="F74" s="152">
        <f>F75+F76+F79+F82+F86+F87</f>
        <v>0</v>
      </c>
      <c r="G74" s="149">
        <f t="shared" si="3"/>
        <v>0</v>
      </c>
      <c r="H74" s="153"/>
      <c r="I74" s="128"/>
    </row>
    <row r="75" spans="1:9" s="127" customFormat="1" ht="21.75" customHeight="1">
      <c r="A75" s="158" t="s">
        <v>89</v>
      </c>
      <c r="B75" s="143">
        <v>2110</v>
      </c>
      <c r="C75" s="147">
        <f>'2023'!C75</f>
        <v>0</v>
      </c>
      <c r="D75" s="152"/>
      <c r="E75" s="152"/>
      <c r="F75" s="152"/>
      <c r="G75" s="149">
        <f t="shared" si="3"/>
        <v>0</v>
      </c>
      <c r="H75" s="153"/>
      <c r="I75" s="128"/>
    </row>
    <row r="76" spans="1:9" s="127" customFormat="1">
      <c r="A76" s="158" t="s">
        <v>90</v>
      </c>
      <c r="B76" s="143">
        <v>2120</v>
      </c>
      <c r="C76" s="147">
        <f>'2023'!C76</f>
        <v>0</v>
      </c>
      <c r="D76" s="160">
        <f>D77+D78</f>
        <v>0</v>
      </c>
      <c r="E76" s="160">
        <f>E77+E78</f>
        <v>0</v>
      </c>
      <c r="F76" s="160">
        <f>F77+F78</f>
        <v>0</v>
      </c>
      <c r="G76" s="149">
        <f t="shared" si="3"/>
        <v>0</v>
      </c>
      <c r="H76" s="153"/>
      <c r="I76" s="128"/>
    </row>
    <row r="77" spans="1:9" s="127" customFormat="1">
      <c r="A77" s="158" t="s">
        <v>91</v>
      </c>
      <c r="B77" s="143">
        <v>2121</v>
      </c>
      <c r="C77" s="147">
        <f>'2023'!C77</f>
        <v>0</v>
      </c>
      <c r="D77" s="149"/>
      <c r="E77" s="149"/>
      <c r="F77" s="149"/>
      <c r="G77" s="149">
        <f t="shared" si="3"/>
        <v>0</v>
      </c>
      <c r="H77" s="148"/>
      <c r="I77" s="128"/>
    </row>
    <row r="78" spans="1:9" s="127" customFormat="1">
      <c r="A78" s="158" t="s">
        <v>92</v>
      </c>
      <c r="B78" s="143">
        <v>2122</v>
      </c>
      <c r="C78" s="147">
        <f>'2023'!C78</f>
        <v>0</v>
      </c>
      <c r="D78" s="149"/>
      <c r="E78" s="149"/>
      <c r="F78" s="149"/>
      <c r="G78" s="149">
        <f t="shared" si="3"/>
        <v>0</v>
      </c>
      <c r="H78" s="148"/>
      <c r="I78" s="128"/>
    </row>
    <row r="79" spans="1:9" s="127" customFormat="1">
      <c r="A79" s="158" t="s">
        <v>93</v>
      </c>
      <c r="B79" s="143">
        <v>2130</v>
      </c>
      <c r="C79" s="147">
        <f>'2023'!C79</f>
        <v>0</v>
      </c>
      <c r="D79" s="149">
        <f>D80+D81</f>
        <v>0</v>
      </c>
      <c r="E79" s="149">
        <f>E80+E81</f>
        <v>0</v>
      </c>
      <c r="F79" s="149">
        <f>F80+F81</f>
        <v>0</v>
      </c>
      <c r="G79" s="149">
        <f t="shared" si="3"/>
        <v>0</v>
      </c>
      <c r="H79" s="148"/>
      <c r="I79" s="128"/>
    </row>
    <row r="80" spans="1:9" s="127" customFormat="1">
      <c r="A80" s="158" t="s">
        <v>94</v>
      </c>
      <c r="B80" s="143">
        <v>2131</v>
      </c>
      <c r="C80" s="147">
        <f>'2023'!C80</f>
        <v>0</v>
      </c>
      <c r="D80" s="149"/>
      <c r="E80" s="149"/>
      <c r="F80" s="149"/>
      <c r="G80" s="149">
        <f t="shared" si="3"/>
        <v>0</v>
      </c>
      <c r="H80" s="148"/>
      <c r="I80" s="128"/>
    </row>
    <row r="81" spans="1:9" s="127" customFormat="1">
      <c r="A81" s="158" t="s">
        <v>95</v>
      </c>
      <c r="B81" s="143">
        <v>2132</v>
      </c>
      <c r="C81" s="147">
        <f>'2023'!C81</f>
        <v>0</v>
      </c>
      <c r="D81" s="149"/>
      <c r="E81" s="149"/>
      <c r="F81" s="149"/>
      <c r="G81" s="149">
        <f t="shared" si="3"/>
        <v>0</v>
      </c>
      <c r="H81" s="148"/>
      <c r="I81" s="128"/>
    </row>
    <row r="82" spans="1:9" s="127" customFormat="1">
      <c r="A82" s="158" t="s">
        <v>96</v>
      </c>
      <c r="B82" s="143">
        <v>2140</v>
      </c>
      <c r="C82" s="147">
        <f>'2023'!C82</f>
        <v>0</v>
      </c>
      <c r="D82" s="149">
        <f>D83+D84+D85</f>
        <v>0</v>
      </c>
      <c r="E82" s="149">
        <f>E83+E84+E85</f>
        <v>0</v>
      </c>
      <c r="F82" s="149">
        <f>F83+F84+F85</f>
        <v>0</v>
      </c>
      <c r="G82" s="149">
        <f t="shared" si="3"/>
        <v>0</v>
      </c>
      <c r="H82" s="148"/>
      <c r="I82" s="128"/>
    </row>
    <row r="83" spans="1:9" s="127" customFormat="1">
      <c r="A83" s="158" t="s">
        <v>97</v>
      </c>
      <c r="B83" s="143">
        <v>2141</v>
      </c>
      <c r="C83" s="147">
        <f>'2023'!C83</f>
        <v>0</v>
      </c>
      <c r="D83" s="149"/>
      <c r="E83" s="149"/>
      <c r="F83" s="149"/>
      <c r="G83" s="149">
        <f t="shared" si="3"/>
        <v>0</v>
      </c>
      <c r="H83" s="148"/>
      <c r="I83" s="128"/>
    </row>
    <row r="84" spans="1:9" s="127" customFormat="1">
      <c r="A84" s="158" t="s">
        <v>98</v>
      </c>
      <c r="B84" s="143">
        <v>2142</v>
      </c>
      <c r="C84" s="147">
        <f>'2023'!C84</f>
        <v>0</v>
      </c>
      <c r="D84" s="149"/>
      <c r="E84" s="149"/>
      <c r="F84" s="149"/>
      <c r="G84" s="149">
        <f t="shared" si="3"/>
        <v>0</v>
      </c>
      <c r="H84" s="148"/>
      <c r="I84" s="128"/>
    </row>
    <row r="85" spans="1:9" s="127" customFormat="1">
      <c r="A85" s="158" t="s">
        <v>99</v>
      </c>
      <c r="B85" s="143">
        <v>2143</v>
      </c>
      <c r="C85" s="147">
        <f>'2023'!C85</f>
        <v>0</v>
      </c>
      <c r="D85" s="152"/>
      <c r="E85" s="152"/>
      <c r="F85" s="152"/>
      <c r="G85" s="149">
        <f t="shared" si="3"/>
        <v>0</v>
      </c>
      <c r="H85" s="153"/>
      <c r="I85" s="128"/>
    </row>
    <row r="86" spans="1:9" s="127" customFormat="1">
      <c r="A86" s="158" t="s">
        <v>100</v>
      </c>
      <c r="B86" s="143">
        <v>2150</v>
      </c>
      <c r="C86" s="147">
        <f>'2023'!C86</f>
        <v>0</v>
      </c>
      <c r="D86" s="149"/>
      <c r="E86" s="149"/>
      <c r="F86" s="149"/>
      <c r="G86" s="149">
        <f t="shared" si="3"/>
        <v>0</v>
      </c>
      <c r="H86" s="148"/>
      <c r="I86" s="128"/>
    </row>
    <row r="87" spans="1:9" s="127" customFormat="1">
      <c r="A87" s="158" t="s">
        <v>101</v>
      </c>
      <c r="B87" s="143">
        <v>2160</v>
      </c>
      <c r="C87" s="147">
        <f>'2023'!C87</f>
        <v>0</v>
      </c>
      <c r="D87" s="149"/>
      <c r="E87" s="149"/>
      <c r="F87" s="149"/>
      <c r="G87" s="149">
        <f t="shared" si="3"/>
        <v>0</v>
      </c>
      <c r="H87" s="148"/>
      <c r="I87" s="128"/>
    </row>
    <row r="88" spans="1:9" s="127" customFormat="1">
      <c r="A88" s="158" t="s">
        <v>102</v>
      </c>
      <c r="B88" s="143">
        <v>2170</v>
      </c>
      <c r="C88" s="147">
        <f>'2023'!C88</f>
        <v>0</v>
      </c>
      <c r="D88" s="149"/>
      <c r="E88" s="149"/>
      <c r="F88" s="149"/>
      <c r="G88" s="149">
        <f t="shared" si="3"/>
        <v>0</v>
      </c>
      <c r="H88" s="148"/>
      <c r="I88" s="128"/>
    </row>
    <row r="89" spans="1:9" s="127" customFormat="1">
      <c r="A89" s="158"/>
      <c r="B89" s="143">
        <v>2171</v>
      </c>
      <c r="C89" s="147">
        <f>'2023'!C89</f>
        <v>0</v>
      </c>
      <c r="D89" s="149"/>
      <c r="E89" s="149"/>
      <c r="F89" s="149"/>
      <c r="G89" s="149">
        <f t="shared" si="3"/>
        <v>0</v>
      </c>
      <c r="H89" s="148"/>
      <c r="I89" s="128"/>
    </row>
    <row r="90" spans="1:9" s="127" customFormat="1">
      <c r="A90" s="146" t="s">
        <v>103</v>
      </c>
      <c r="B90" s="143">
        <v>4000</v>
      </c>
      <c r="C90" s="178">
        <f>C32</f>
        <v>5123.1000000000004</v>
      </c>
      <c r="D90" s="178">
        <f>D32</f>
        <v>5914.7</v>
      </c>
      <c r="E90" s="178">
        <f>E32</f>
        <v>7799.129780799999</v>
      </c>
      <c r="F90" s="178">
        <f>F32</f>
        <v>5914.7</v>
      </c>
      <c r="G90" s="178">
        <f t="shared" si="3"/>
        <v>-1884.4297807999992</v>
      </c>
      <c r="H90" s="179">
        <f>(F90/E90)*100</f>
        <v>75.83794815879186</v>
      </c>
      <c r="I90" s="128"/>
    </row>
    <row r="91" spans="1:9" s="127" customFormat="1">
      <c r="A91" s="146" t="s">
        <v>104</v>
      </c>
      <c r="B91" s="143">
        <v>5000</v>
      </c>
      <c r="C91" s="178">
        <f>C49+C74</f>
        <v>5606.3779999999997</v>
      </c>
      <c r="D91" s="178">
        <f>D49+D74</f>
        <v>5512.3120000000008</v>
      </c>
      <c r="E91" s="178">
        <f>E49+E74</f>
        <v>7799.129780799999</v>
      </c>
      <c r="F91" s="178">
        <f>F49+F74</f>
        <v>5512.3120000000008</v>
      </c>
      <c r="G91" s="178">
        <f t="shared" si="3"/>
        <v>-2286.8177807999982</v>
      </c>
      <c r="H91" s="179">
        <f>(F91/E91)*100</f>
        <v>70.678552029872392</v>
      </c>
      <c r="I91" s="128"/>
    </row>
    <row r="92" spans="1:9" s="127" customFormat="1">
      <c r="A92" s="162" t="s">
        <v>105</v>
      </c>
      <c r="B92" s="143">
        <v>6000</v>
      </c>
      <c r="C92" s="180">
        <f>C90-C91</f>
        <v>-483.27799999999934</v>
      </c>
      <c r="D92" s="178">
        <f>D90-D91</f>
        <v>402.38799999999901</v>
      </c>
      <c r="E92" s="180">
        <f>E90-E91</f>
        <v>0</v>
      </c>
      <c r="F92" s="178">
        <f>F90-F91</f>
        <v>402.38799999999901</v>
      </c>
      <c r="G92" s="178">
        <f t="shared" si="3"/>
        <v>402.38799999999901</v>
      </c>
      <c r="H92" s="179"/>
      <c r="I92" s="128"/>
    </row>
    <row r="93" spans="1:9" s="127" customFormat="1">
      <c r="A93" s="418" t="s">
        <v>106</v>
      </c>
      <c r="B93" s="419"/>
      <c r="C93" s="419"/>
      <c r="D93" s="419"/>
      <c r="E93" s="419"/>
      <c r="F93" s="419"/>
      <c r="G93" s="419"/>
      <c r="H93" s="420"/>
    </row>
    <row r="94" spans="1:9" s="127" customFormat="1" ht="31.5">
      <c r="A94" s="163" t="s">
        <v>107</v>
      </c>
      <c r="B94" s="143">
        <v>7100</v>
      </c>
      <c r="C94" s="180">
        <f>C95+C96+C97+C98</f>
        <v>6.3</v>
      </c>
      <c r="D94" s="180">
        <f>D95+D96+D97+D98</f>
        <v>7.2</v>
      </c>
      <c r="E94" s="180">
        <f>E95+E96+E97+E98</f>
        <v>7.5</v>
      </c>
      <c r="F94" s="180">
        <f>F95+F96+F97+F98</f>
        <v>7.2</v>
      </c>
      <c r="G94" s="180">
        <f t="shared" ref="G94:G107" si="5">F94-E94</f>
        <v>-0.29999999999999982</v>
      </c>
      <c r="H94" s="179">
        <f t="shared" ref="H94:H107" si="6">(F94/E94)*100</f>
        <v>96.000000000000014</v>
      </c>
    </row>
    <row r="95" spans="1:9" s="127" customFormat="1" ht="31.5">
      <c r="A95" s="164" t="s">
        <v>108</v>
      </c>
      <c r="B95" s="143">
        <v>7110</v>
      </c>
      <c r="C95" s="147">
        <f>'2023'!C95</f>
        <v>6.3</v>
      </c>
      <c r="D95" s="180">
        <f>F95</f>
        <v>7.2</v>
      </c>
      <c r="E95" s="180">
        <f>план!G100</f>
        <v>7.5</v>
      </c>
      <c r="F95" s="180">
        <v>7.2</v>
      </c>
      <c r="G95" s="180">
        <f t="shared" si="5"/>
        <v>-0.29999999999999982</v>
      </c>
      <c r="H95" s="179">
        <f t="shared" si="6"/>
        <v>96.000000000000014</v>
      </c>
    </row>
    <row r="96" spans="1:9" s="127" customFormat="1" ht="36" customHeight="1">
      <c r="A96" s="165" t="s">
        <v>109</v>
      </c>
      <c r="B96" s="144">
        <v>7120</v>
      </c>
      <c r="C96" s="147">
        <f>'2023'!C96</f>
        <v>0</v>
      </c>
      <c r="D96" s="149"/>
      <c r="E96" s="149"/>
      <c r="F96" s="149"/>
      <c r="G96" s="152">
        <f t="shared" si="5"/>
        <v>0</v>
      </c>
      <c r="H96" s="153"/>
    </row>
    <row r="97" spans="1:11" s="127" customFormat="1">
      <c r="A97" s="166" t="s">
        <v>110</v>
      </c>
      <c r="B97" s="144">
        <v>7130</v>
      </c>
      <c r="C97" s="147">
        <f>'2023'!C97</f>
        <v>0</v>
      </c>
      <c r="D97" s="149"/>
      <c r="E97" s="149"/>
      <c r="F97" s="149"/>
      <c r="G97" s="152">
        <f t="shared" si="5"/>
        <v>0</v>
      </c>
      <c r="H97" s="153"/>
    </row>
    <row r="98" spans="1:11" s="127" customFormat="1">
      <c r="A98" s="166" t="s">
        <v>111</v>
      </c>
      <c r="B98" s="144">
        <v>7140</v>
      </c>
      <c r="C98" s="147">
        <f>'2023'!C98</f>
        <v>0</v>
      </c>
      <c r="D98" s="149"/>
      <c r="E98" s="149"/>
      <c r="F98" s="149"/>
      <c r="G98" s="152">
        <f t="shared" si="5"/>
        <v>0</v>
      </c>
      <c r="H98" s="153"/>
    </row>
    <row r="99" spans="1:11" s="127" customFormat="1" ht="31.5">
      <c r="A99" s="167" t="s">
        <v>112</v>
      </c>
      <c r="B99" s="144">
        <v>7200</v>
      </c>
      <c r="C99" s="152">
        <f>C100+C101</f>
        <v>699</v>
      </c>
      <c r="D99" s="152">
        <f>D100+D101</f>
        <v>683.9</v>
      </c>
      <c r="E99" s="152">
        <f>E100+E101</f>
        <v>921.37769999999989</v>
      </c>
      <c r="F99" s="152">
        <f>F100+F101</f>
        <v>683.9</v>
      </c>
      <c r="G99" s="152">
        <f t="shared" si="5"/>
        <v>-237.47769999999991</v>
      </c>
      <c r="H99" s="153">
        <f t="shared" si="6"/>
        <v>74.225803381175822</v>
      </c>
    </row>
    <row r="100" spans="1:11" s="127" customFormat="1">
      <c r="A100" s="164" t="s">
        <v>113</v>
      </c>
      <c r="B100" s="144">
        <v>7210</v>
      </c>
      <c r="C100" s="147">
        <f>'2023'!C100</f>
        <v>699</v>
      </c>
      <c r="D100" s="149">
        <f>F100</f>
        <v>683.9</v>
      </c>
      <c r="E100" s="181">
        <f>план!G105</f>
        <v>921.37769999999989</v>
      </c>
      <c r="F100" s="181">
        <v>683.9</v>
      </c>
      <c r="G100" s="181">
        <f t="shared" si="5"/>
        <v>-237.47769999999991</v>
      </c>
      <c r="H100" s="182">
        <f t="shared" si="6"/>
        <v>74.225803381175822</v>
      </c>
      <c r="I100" s="128"/>
      <c r="J100" s="128"/>
    </row>
    <row r="101" spans="1:11" s="127" customFormat="1">
      <c r="A101" s="165" t="s">
        <v>114</v>
      </c>
      <c r="B101" s="145">
        <v>7220</v>
      </c>
      <c r="C101" s="147">
        <f>'2023'!C101</f>
        <v>0</v>
      </c>
      <c r="D101" s="149">
        <f>F101</f>
        <v>0</v>
      </c>
      <c r="E101" s="181">
        <f>план!G106</f>
        <v>0</v>
      </c>
      <c r="F101" s="181"/>
      <c r="G101" s="181">
        <f t="shared" si="5"/>
        <v>0</v>
      </c>
      <c r="H101" s="182"/>
    </row>
    <row r="102" spans="1:11" s="127" customFormat="1" ht="31.5">
      <c r="A102" s="167" t="s">
        <v>115</v>
      </c>
      <c r="B102" s="144">
        <v>7300</v>
      </c>
      <c r="C102" s="152">
        <f>C103+C104+C105+C106</f>
        <v>933.94799999999987</v>
      </c>
      <c r="D102" s="152">
        <f>D103+D104+D105+D106</f>
        <v>908.5120000000004</v>
      </c>
      <c r="E102" s="152">
        <f>E103+E104+E105+E106</f>
        <v>1202.9097749999994</v>
      </c>
      <c r="F102" s="152">
        <f>F103+F104+F105+F106</f>
        <v>908.5120000000004</v>
      </c>
      <c r="G102" s="152">
        <f t="shared" si="5"/>
        <v>-294.397774999999</v>
      </c>
      <c r="H102" s="153">
        <f t="shared" si="6"/>
        <v>75.526196468060192</v>
      </c>
    </row>
    <row r="103" spans="1:11" s="127" customFormat="1" ht="32.25" customHeight="1">
      <c r="A103" s="166" t="s">
        <v>116</v>
      </c>
      <c r="B103" s="144">
        <v>7310</v>
      </c>
      <c r="C103" s="147">
        <f>'2023'!C103</f>
        <v>874.94799999999987</v>
      </c>
      <c r="D103" s="149">
        <f>F103</f>
        <v>851.31200000000035</v>
      </c>
      <c r="E103" s="181">
        <f>план!G108</f>
        <v>1126.1282999999994</v>
      </c>
      <c r="F103" s="181">
        <f>F159-F166</f>
        <v>851.31200000000035</v>
      </c>
      <c r="G103" s="181">
        <f t="shared" si="5"/>
        <v>-274.81629999999905</v>
      </c>
      <c r="H103" s="182">
        <f t="shared" si="6"/>
        <v>75.596359668787372</v>
      </c>
      <c r="I103" s="128"/>
      <c r="K103" s="292"/>
    </row>
    <row r="104" spans="1:11" s="127" customFormat="1">
      <c r="A104" s="166" t="s">
        <v>117</v>
      </c>
      <c r="B104" s="144">
        <v>7320</v>
      </c>
      <c r="C104" s="147">
        <f>'2023'!C104</f>
        <v>59</v>
      </c>
      <c r="D104" s="149">
        <f>F104</f>
        <v>57.2</v>
      </c>
      <c r="E104" s="181">
        <f>план!G109</f>
        <v>76.781474999999986</v>
      </c>
      <c r="F104" s="181">
        <v>57.2</v>
      </c>
      <c r="G104" s="181">
        <f t="shared" si="5"/>
        <v>-19.581474999999983</v>
      </c>
      <c r="H104" s="182">
        <f t="shared" si="6"/>
        <v>74.497136190728312</v>
      </c>
      <c r="J104" s="128"/>
    </row>
    <row r="105" spans="1:11" s="127" customFormat="1" ht="17.25" customHeight="1">
      <c r="A105" s="166" t="s">
        <v>118</v>
      </c>
      <c r="B105" s="144">
        <v>7330</v>
      </c>
      <c r="C105" s="147">
        <f>'2023'!C105</f>
        <v>0</v>
      </c>
      <c r="D105" s="149"/>
      <c r="E105" s="149"/>
      <c r="F105" s="149"/>
      <c r="G105" s="152">
        <f t="shared" si="5"/>
        <v>0</v>
      </c>
      <c r="H105" s="153"/>
    </row>
    <row r="106" spans="1:11" s="127" customFormat="1" ht="15.75" customHeight="1">
      <c r="A106" s="166" t="s">
        <v>250</v>
      </c>
      <c r="B106" s="144">
        <v>7340</v>
      </c>
      <c r="C106" s="147">
        <f>'2023'!C106</f>
        <v>0</v>
      </c>
      <c r="D106" s="149"/>
      <c r="E106" s="149"/>
      <c r="F106" s="149"/>
      <c r="G106" s="152">
        <f t="shared" si="5"/>
        <v>0</v>
      </c>
      <c r="H106" s="153"/>
      <c r="J106" s="177"/>
    </row>
    <row r="107" spans="1:11" s="127" customFormat="1">
      <c r="A107" s="167" t="s">
        <v>119</v>
      </c>
      <c r="B107" s="144">
        <v>7000</v>
      </c>
      <c r="C107" s="152">
        <f>C102+C99+C94</f>
        <v>1639.2479999999998</v>
      </c>
      <c r="D107" s="152">
        <f>D102+D99+D94</f>
        <v>1599.6120000000003</v>
      </c>
      <c r="E107" s="152">
        <f>E102+E99+E94</f>
        <v>2131.7874749999992</v>
      </c>
      <c r="F107" s="152">
        <f>F102+F99+F94</f>
        <v>1599.6120000000003</v>
      </c>
      <c r="G107" s="152">
        <f t="shared" si="5"/>
        <v>-532.17547499999887</v>
      </c>
      <c r="H107" s="153">
        <f t="shared" si="6"/>
        <v>75.03618530266489</v>
      </c>
    </row>
    <row r="108" spans="1:11" s="127" customFormat="1">
      <c r="A108" s="421" t="s">
        <v>120</v>
      </c>
      <c r="B108" s="422"/>
      <c r="C108" s="422"/>
      <c r="D108" s="422"/>
      <c r="E108" s="422"/>
      <c r="F108" s="422"/>
      <c r="G108" s="422"/>
      <c r="H108" s="423"/>
    </row>
    <row r="109" spans="1:11" s="127" customFormat="1">
      <c r="A109" s="167" t="s">
        <v>121</v>
      </c>
      <c r="B109" s="168">
        <v>8000</v>
      </c>
      <c r="C109" s="152">
        <f>C110+C111+C112+C113+C114+C115</f>
        <v>0</v>
      </c>
      <c r="D109" s="152">
        <f>D110+D111+D112+D113+D114+D115</f>
        <v>0</v>
      </c>
      <c r="E109" s="152">
        <f>E110+E111+E112+E113+E114+E115</f>
        <v>0</v>
      </c>
      <c r="F109" s="152">
        <f>F110+F111+F112+F113+F114+F115</f>
        <v>0</v>
      </c>
      <c r="G109" s="152">
        <f t="shared" ref="G109:G120" si="7">F109-E109</f>
        <v>0</v>
      </c>
      <c r="H109" s="153"/>
    </row>
    <row r="110" spans="1:11" s="127" customFormat="1">
      <c r="A110" s="164" t="s">
        <v>122</v>
      </c>
      <c r="B110" s="168">
        <v>8010</v>
      </c>
      <c r="C110" s="149"/>
      <c r="D110" s="149"/>
      <c r="E110" s="149"/>
      <c r="F110" s="149"/>
      <c r="G110" s="152">
        <f t="shared" si="7"/>
        <v>0</v>
      </c>
      <c r="H110" s="153"/>
    </row>
    <row r="111" spans="1:11" s="127" customFormat="1">
      <c r="A111" s="164" t="s">
        <v>123</v>
      </c>
      <c r="B111" s="168">
        <v>8020</v>
      </c>
      <c r="C111" s="149"/>
      <c r="D111" s="149"/>
      <c r="E111" s="149"/>
      <c r="F111" s="149"/>
      <c r="G111" s="152">
        <f t="shared" si="7"/>
        <v>0</v>
      </c>
      <c r="H111" s="153"/>
    </row>
    <row r="112" spans="1:11" s="127" customFormat="1" ht="21" customHeight="1">
      <c r="A112" s="164" t="s">
        <v>124</v>
      </c>
      <c r="B112" s="168">
        <v>8030</v>
      </c>
      <c r="C112" s="149"/>
      <c r="D112" s="149"/>
      <c r="E112" s="149"/>
      <c r="F112" s="149"/>
      <c r="G112" s="152">
        <f t="shared" si="7"/>
        <v>0</v>
      </c>
      <c r="H112" s="153"/>
    </row>
    <row r="113" spans="1:8" s="127" customFormat="1">
      <c r="A113" s="164" t="s">
        <v>125</v>
      </c>
      <c r="B113" s="168">
        <v>8040</v>
      </c>
      <c r="C113" s="149"/>
      <c r="D113" s="149"/>
      <c r="E113" s="149"/>
      <c r="F113" s="149"/>
      <c r="G113" s="152">
        <f t="shared" si="7"/>
        <v>0</v>
      </c>
      <c r="H113" s="153"/>
    </row>
    <row r="114" spans="1:8" s="127" customFormat="1" ht="31.5">
      <c r="A114" s="164" t="s">
        <v>126</v>
      </c>
      <c r="B114" s="168">
        <v>8050</v>
      </c>
      <c r="C114" s="149"/>
      <c r="D114" s="149"/>
      <c r="E114" s="149"/>
      <c r="F114" s="149"/>
      <c r="G114" s="152">
        <f t="shared" si="7"/>
        <v>0</v>
      </c>
      <c r="H114" s="153"/>
    </row>
    <row r="115" spans="1:8" s="127" customFormat="1">
      <c r="A115" s="164" t="s">
        <v>127</v>
      </c>
      <c r="B115" s="169">
        <v>8060</v>
      </c>
      <c r="C115" s="149"/>
      <c r="D115" s="149"/>
      <c r="E115" s="149"/>
      <c r="F115" s="149"/>
      <c r="G115" s="152">
        <f t="shared" si="7"/>
        <v>0</v>
      </c>
      <c r="H115" s="153"/>
    </row>
    <row r="116" spans="1:8" s="127" customFormat="1" ht="18.75" customHeight="1">
      <c r="A116" s="167" t="s">
        <v>128</v>
      </c>
      <c r="B116" s="169">
        <v>8100</v>
      </c>
      <c r="C116" s="152">
        <f>C117+C118+C119+C120</f>
        <v>0</v>
      </c>
      <c r="D116" s="152">
        <f>D117+D118+D119+D120</f>
        <v>0</v>
      </c>
      <c r="E116" s="152">
        <f>E117+E118+E119+E120</f>
        <v>0</v>
      </c>
      <c r="F116" s="152">
        <f>F117+F118+F119+F120</f>
        <v>0</v>
      </c>
      <c r="G116" s="152">
        <f t="shared" si="7"/>
        <v>0</v>
      </c>
      <c r="H116" s="153"/>
    </row>
    <row r="117" spans="1:8" s="127" customFormat="1">
      <c r="A117" s="165" t="s">
        <v>129</v>
      </c>
      <c r="B117" s="169" t="s">
        <v>130</v>
      </c>
      <c r="C117" s="149"/>
      <c r="D117" s="149"/>
      <c r="E117" s="149"/>
      <c r="F117" s="149"/>
      <c r="G117" s="152">
        <f t="shared" si="7"/>
        <v>0</v>
      </c>
      <c r="H117" s="153"/>
    </row>
    <row r="118" spans="1:8" s="127" customFormat="1">
      <c r="A118" s="165" t="s">
        <v>131</v>
      </c>
      <c r="B118" s="169" t="s">
        <v>132</v>
      </c>
      <c r="C118" s="149"/>
      <c r="D118" s="149"/>
      <c r="E118" s="149"/>
      <c r="F118" s="149"/>
      <c r="G118" s="152">
        <f t="shared" si="7"/>
        <v>0</v>
      </c>
      <c r="H118" s="153"/>
    </row>
    <row r="119" spans="1:8" s="127" customFormat="1">
      <c r="A119" s="165" t="s">
        <v>133</v>
      </c>
      <c r="B119" s="169" t="s">
        <v>134</v>
      </c>
      <c r="C119" s="149"/>
      <c r="D119" s="149"/>
      <c r="E119" s="149"/>
      <c r="F119" s="149"/>
      <c r="G119" s="152">
        <f t="shared" si="7"/>
        <v>0</v>
      </c>
      <c r="H119" s="153"/>
    </row>
    <row r="120" spans="1:8" s="127" customFormat="1">
      <c r="A120" s="165" t="s">
        <v>135</v>
      </c>
      <c r="B120" s="169" t="s">
        <v>136</v>
      </c>
      <c r="C120" s="149"/>
      <c r="D120" s="149"/>
      <c r="E120" s="149"/>
      <c r="F120" s="149"/>
      <c r="G120" s="152">
        <f t="shared" si="7"/>
        <v>0</v>
      </c>
      <c r="H120" s="153"/>
    </row>
    <row r="121" spans="1:8" s="127" customFormat="1">
      <c r="A121" s="424" t="s">
        <v>137</v>
      </c>
      <c r="B121" s="425"/>
      <c r="C121" s="425"/>
      <c r="D121" s="425"/>
      <c r="E121" s="425"/>
      <c r="F121" s="425"/>
      <c r="G121" s="425"/>
      <c r="H121" s="426"/>
    </row>
    <row r="122" spans="1:8" s="127" customFormat="1">
      <c r="A122" s="166" t="s">
        <v>138</v>
      </c>
      <c r="B122" s="143">
        <v>9010</v>
      </c>
      <c r="C122" s="170"/>
      <c r="D122" s="170"/>
      <c r="E122" s="170"/>
      <c r="F122" s="170"/>
      <c r="G122" s="170">
        <f>F122-E122</f>
        <v>0</v>
      </c>
      <c r="H122" s="148"/>
    </row>
    <row r="123" spans="1:8" s="127" customFormat="1">
      <c r="A123" s="166" t="s">
        <v>139</v>
      </c>
      <c r="B123" s="143">
        <v>9020</v>
      </c>
      <c r="C123" s="170"/>
      <c r="D123" s="170"/>
      <c r="E123" s="170"/>
      <c r="F123" s="170"/>
      <c r="G123" s="170">
        <f>F123-E123</f>
        <v>0</v>
      </c>
      <c r="H123" s="148"/>
    </row>
    <row r="124" spans="1:8" s="127" customFormat="1">
      <c r="A124" s="166" t="s">
        <v>140</v>
      </c>
      <c r="B124" s="143">
        <v>9030</v>
      </c>
      <c r="C124" s="170"/>
      <c r="D124" s="170"/>
      <c r="E124" s="170"/>
      <c r="F124" s="170"/>
      <c r="G124" s="170">
        <f>F124-E124</f>
        <v>0</v>
      </c>
      <c r="H124" s="148"/>
    </row>
    <row r="125" spans="1:8" s="127" customFormat="1">
      <c r="A125" s="166" t="s">
        <v>141</v>
      </c>
      <c r="B125" s="143">
        <v>9040</v>
      </c>
      <c r="C125" s="170"/>
      <c r="D125" s="170"/>
      <c r="E125" s="170"/>
      <c r="F125" s="170"/>
      <c r="G125" s="170"/>
      <c r="H125" s="148"/>
    </row>
    <row r="126" spans="1:8" s="127" customFormat="1">
      <c r="A126" s="166" t="s">
        <v>142</v>
      </c>
      <c r="B126" s="143">
        <v>9050</v>
      </c>
      <c r="C126" s="170"/>
      <c r="D126" s="170"/>
      <c r="E126" s="170"/>
      <c r="F126" s="170"/>
      <c r="G126" s="170">
        <f>F126-E126</f>
        <v>0</v>
      </c>
      <c r="H126" s="148"/>
    </row>
    <row r="127" spans="1:8" s="127" customFormat="1">
      <c r="A127" s="418" t="s">
        <v>143</v>
      </c>
      <c r="B127" s="419"/>
      <c r="C127" s="419"/>
      <c r="D127" s="419"/>
      <c r="E127" s="419"/>
      <c r="F127" s="419"/>
      <c r="G127" s="419"/>
      <c r="H127" s="420"/>
    </row>
    <row r="128" spans="1:8" s="127" customFormat="1">
      <c r="A128" s="166" t="s">
        <v>144</v>
      </c>
      <c r="B128" s="143">
        <v>10000</v>
      </c>
      <c r="C128" s="170">
        <f>C129</f>
        <v>2673.2</v>
      </c>
      <c r="D128" s="170">
        <v>2386.8000000000002</v>
      </c>
      <c r="E128" s="149"/>
      <c r="F128" s="182">
        <v>2386.8000000000002</v>
      </c>
      <c r="G128" s="149">
        <f t="shared" ref="G128:G138" si="8">F128-E128</f>
        <v>2386.8000000000002</v>
      </c>
      <c r="H128" s="148"/>
    </row>
    <row r="129" spans="1:9" s="127" customFormat="1">
      <c r="A129" s="166" t="s">
        <v>145</v>
      </c>
      <c r="B129" s="143">
        <v>10001</v>
      </c>
      <c r="C129" s="149">
        <f>C130-C131</f>
        <v>2673.2</v>
      </c>
      <c r="D129" s="147">
        <f>D130-D131</f>
        <v>2383.9000000000005</v>
      </c>
      <c r="E129" s="149">
        <f>E130-E131</f>
        <v>0</v>
      </c>
      <c r="F129" s="183">
        <f>F130-F131</f>
        <v>2383.9000000000005</v>
      </c>
      <c r="G129" s="147">
        <f t="shared" si="8"/>
        <v>2383.9000000000005</v>
      </c>
      <c r="H129" s="148"/>
    </row>
    <row r="130" spans="1:9" s="127" customFormat="1">
      <c r="A130" s="166" t="s">
        <v>146</v>
      </c>
      <c r="B130" s="143">
        <v>10002</v>
      </c>
      <c r="C130" s="176">
        <f>'2023'!C130</f>
        <v>8156.4</v>
      </c>
      <c r="D130" s="147">
        <f>F130</f>
        <v>8085.1</v>
      </c>
      <c r="E130" s="149"/>
      <c r="F130" s="274">
        <v>8085.1</v>
      </c>
      <c r="G130" s="147">
        <f t="shared" si="8"/>
        <v>8085.1</v>
      </c>
      <c r="H130" s="148"/>
      <c r="I130" s="131"/>
    </row>
    <row r="131" spans="1:9" s="127" customFormat="1">
      <c r="A131" s="166" t="s">
        <v>147</v>
      </c>
      <c r="B131" s="143">
        <v>10003</v>
      </c>
      <c r="C131" s="176">
        <f>'2023'!C131</f>
        <v>5483.2</v>
      </c>
      <c r="D131" s="147">
        <f>F131</f>
        <v>5701.2</v>
      </c>
      <c r="E131" s="149"/>
      <c r="F131" s="274">
        <v>5701.2</v>
      </c>
      <c r="G131" s="147">
        <f t="shared" si="8"/>
        <v>5701.2</v>
      </c>
      <c r="H131" s="148"/>
    </row>
    <row r="132" spans="1:9" s="127" customFormat="1">
      <c r="A132" s="166" t="s">
        <v>148</v>
      </c>
      <c r="B132" s="143">
        <v>10010</v>
      </c>
      <c r="C132" s="176">
        <f>'2023'!C132</f>
        <v>1319.3</v>
      </c>
      <c r="D132" s="274">
        <v>1327.8</v>
      </c>
      <c r="E132" s="274"/>
      <c r="F132" s="274">
        <v>1327.8</v>
      </c>
      <c r="G132" s="147">
        <f>F132-E132</f>
        <v>1327.8</v>
      </c>
      <c r="H132" s="148"/>
    </row>
    <row r="133" spans="1:9" s="127" customFormat="1">
      <c r="A133" s="166" t="s">
        <v>149</v>
      </c>
      <c r="B133" s="143">
        <v>10011</v>
      </c>
      <c r="C133" s="176">
        <f>'2023'!C133</f>
        <v>1299.5999999999999</v>
      </c>
      <c r="D133" s="147">
        <f>F133</f>
        <v>565</v>
      </c>
      <c r="E133" s="149"/>
      <c r="F133" s="172">
        <v>565</v>
      </c>
      <c r="G133" s="147">
        <f t="shared" si="8"/>
        <v>565</v>
      </c>
      <c r="H133" s="148"/>
    </row>
    <row r="134" spans="1:9" s="127" customFormat="1">
      <c r="A134" s="166" t="s">
        <v>150</v>
      </c>
      <c r="B134" s="143">
        <v>10012</v>
      </c>
      <c r="C134" s="176">
        <f>'2023'!C134</f>
        <v>19.7</v>
      </c>
      <c r="D134" s="147">
        <f>F134</f>
        <v>30.3</v>
      </c>
      <c r="E134" s="149"/>
      <c r="F134" s="172">
        <f>8.3+22</f>
        <v>30.3</v>
      </c>
      <c r="G134" s="147">
        <f t="shared" si="8"/>
        <v>30.3</v>
      </c>
      <c r="H134" s="148"/>
    </row>
    <row r="135" spans="1:9" s="127" customFormat="1">
      <c r="A135" s="167" t="s">
        <v>151</v>
      </c>
      <c r="B135" s="143">
        <v>10020</v>
      </c>
      <c r="C135" s="147">
        <f>C128+C132</f>
        <v>3992.5</v>
      </c>
      <c r="D135" s="161">
        <f>D128+D132</f>
        <v>3714.6000000000004</v>
      </c>
      <c r="E135" s="152">
        <f>E128+E132</f>
        <v>0</v>
      </c>
      <c r="F135" s="178">
        <f>F128+F132</f>
        <v>3714.6000000000004</v>
      </c>
      <c r="G135" s="147">
        <f>F135-E135</f>
        <v>3714.6000000000004</v>
      </c>
      <c r="H135" s="148"/>
    </row>
    <row r="136" spans="1:9" s="127" customFormat="1">
      <c r="A136" s="166" t="s">
        <v>152</v>
      </c>
      <c r="B136" s="143">
        <v>10030</v>
      </c>
      <c r="C136" s="176">
        <f>'2023'!C136</f>
        <v>16</v>
      </c>
      <c r="D136" s="147">
        <f>F136</f>
        <v>7</v>
      </c>
      <c r="E136" s="149"/>
      <c r="F136" s="172">
        <v>7</v>
      </c>
      <c r="G136" s="147">
        <f t="shared" si="8"/>
        <v>7</v>
      </c>
      <c r="H136" s="148"/>
    </row>
    <row r="137" spans="1:9" s="127" customFormat="1">
      <c r="A137" s="166" t="s">
        <v>153</v>
      </c>
      <c r="B137" s="143">
        <v>10040</v>
      </c>
      <c r="C137" s="176">
        <f>'2023'!C137</f>
        <v>4846.1000000000004</v>
      </c>
      <c r="D137" s="147">
        <f>F137</f>
        <v>1661.8</v>
      </c>
      <c r="E137" s="149"/>
      <c r="F137" s="172">
        <v>1661.8</v>
      </c>
      <c r="G137" s="147">
        <f t="shared" si="8"/>
        <v>1661.8</v>
      </c>
      <c r="H137" s="148"/>
    </row>
    <row r="138" spans="1:9" s="127" customFormat="1">
      <c r="A138" s="167" t="s">
        <v>154</v>
      </c>
      <c r="B138" s="143">
        <v>10050</v>
      </c>
      <c r="C138" s="147">
        <f>'2023'!C138</f>
        <v>4862.1000000000004</v>
      </c>
      <c r="D138" s="180">
        <f>SUM(D136:D137)</f>
        <v>1668.8</v>
      </c>
      <c r="E138" s="180">
        <f>SUM(E136:E137)</f>
        <v>0</v>
      </c>
      <c r="F138" s="180">
        <f>SUM(F136:F137)</f>
        <v>1668.8</v>
      </c>
      <c r="G138" s="178">
        <f t="shared" si="8"/>
        <v>1668.8</v>
      </c>
      <c r="H138" s="179"/>
    </row>
    <row r="139" spans="1:9" s="127" customFormat="1">
      <c r="A139" s="166" t="s">
        <v>155</v>
      </c>
      <c r="B139" s="143">
        <v>10060</v>
      </c>
      <c r="C139" s="176">
        <f>'2023'!C139</f>
        <v>0</v>
      </c>
      <c r="D139" s="149"/>
      <c r="E139" s="149"/>
      <c r="F139" s="172"/>
      <c r="G139" s="147"/>
      <c r="H139" s="148"/>
    </row>
    <row r="140" spans="1:9" s="127" customFormat="1">
      <c r="A140" s="166" t="s">
        <v>156</v>
      </c>
      <c r="B140" s="143">
        <v>10070</v>
      </c>
      <c r="C140" s="176">
        <f>'2023'!C140</f>
        <v>0</v>
      </c>
      <c r="D140" s="149"/>
      <c r="E140" s="149"/>
      <c r="F140" s="171"/>
      <c r="G140" s="147"/>
      <c r="H140" s="148"/>
    </row>
    <row r="141" spans="1:9" s="127" customFormat="1">
      <c r="A141" s="167" t="s">
        <v>157</v>
      </c>
      <c r="B141" s="143">
        <v>10080</v>
      </c>
      <c r="C141" s="147">
        <f>C135-C138</f>
        <v>-869.60000000000036</v>
      </c>
      <c r="D141" s="180">
        <f>F141</f>
        <v>2045.8000000000004</v>
      </c>
      <c r="E141" s="180"/>
      <c r="F141" s="275">
        <f>F135-F138</f>
        <v>2045.8000000000004</v>
      </c>
      <c r="G141" s="180"/>
      <c r="H141" s="179"/>
    </row>
    <row r="142" spans="1:9" s="127" customFormat="1">
      <c r="A142" s="421" t="s">
        <v>158</v>
      </c>
      <c r="B142" s="422"/>
      <c r="C142" s="422"/>
      <c r="D142" s="422"/>
      <c r="E142" s="422"/>
      <c r="F142" s="422"/>
      <c r="G142" s="422"/>
      <c r="H142" s="423"/>
    </row>
    <row r="143" spans="1:9" s="127" customFormat="1">
      <c r="A143" s="167" t="s">
        <v>159</v>
      </c>
      <c r="B143" s="173" t="s">
        <v>160</v>
      </c>
      <c r="C143" s="180">
        <f>SUM(C144:C146)</f>
        <v>0</v>
      </c>
      <c r="D143" s="180">
        <f>SUM(D144:D146)</f>
        <v>0</v>
      </c>
      <c r="E143" s="180">
        <f>SUM(E144:E146)</f>
        <v>0</v>
      </c>
      <c r="F143" s="180">
        <f>SUM(F144:F146)</f>
        <v>0</v>
      </c>
      <c r="G143" s="180">
        <f t="shared" ref="G143:G150" si="9">F143-E143</f>
        <v>0</v>
      </c>
      <c r="H143" s="179"/>
    </row>
    <row r="144" spans="1:9" s="127" customFormat="1">
      <c r="A144" s="166" t="s">
        <v>161</v>
      </c>
      <c r="B144" s="173" t="s">
        <v>162</v>
      </c>
      <c r="C144" s="149"/>
      <c r="D144" s="149"/>
      <c r="E144" s="149"/>
      <c r="F144" s="181"/>
      <c r="G144" s="181">
        <f t="shared" si="9"/>
        <v>0</v>
      </c>
      <c r="H144" s="182"/>
    </row>
    <row r="145" spans="1:12" s="127" customFormat="1">
      <c r="A145" s="166" t="s">
        <v>163</v>
      </c>
      <c r="B145" s="173" t="s">
        <v>164</v>
      </c>
      <c r="C145" s="149"/>
      <c r="D145" s="149"/>
      <c r="E145" s="149"/>
      <c r="F145" s="181"/>
      <c r="G145" s="181">
        <f t="shared" si="9"/>
        <v>0</v>
      </c>
      <c r="H145" s="182"/>
    </row>
    <row r="146" spans="1:12" s="127" customFormat="1">
      <c r="A146" s="166" t="s">
        <v>165</v>
      </c>
      <c r="B146" s="173" t="s">
        <v>166</v>
      </c>
      <c r="C146" s="149"/>
      <c r="D146" s="149"/>
      <c r="E146" s="149"/>
      <c r="F146" s="181"/>
      <c r="G146" s="181">
        <f t="shared" si="9"/>
        <v>0</v>
      </c>
      <c r="H146" s="182"/>
    </row>
    <row r="147" spans="1:12" s="127" customFormat="1">
      <c r="A147" s="167" t="s">
        <v>167</v>
      </c>
      <c r="B147" s="173" t="s">
        <v>168</v>
      </c>
      <c r="C147" s="180">
        <f>SUM(C148:C150)</f>
        <v>0</v>
      </c>
      <c r="D147" s="180">
        <f>SUM(D148:D150)</f>
        <v>0</v>
      </c>
      <c r="E147" s="180">
        <f>SUM(E148:E150)</f>
        <v>0</v>
      </c>
      <c r="F147" s="180">
        <f>SUM(F148:F150)</f>
        <v>0</v>
      </c>
      <c r="G147" s="180">
        <f t="shared" si="9"/>
        <v>0</v>
      </c>
      <c r="H147" s="179"/>
    </row>
    <row r="148" spans="1:12" s="127" customFormat="1">
      <c r="A148" s="166" t="s">
        <v>161</v>
      </c>
      <c r="B148" s="173" t="s">
        <v>169</v>
      </c>
      <c r="C148" s="149"/>
      <c r="D148" s="149"/>
      <c r="E148" s="149"/>
      <c r="F148" s="149"/>
      <c r="G148" s="152">
        <f t="shared" si="9"/>
        <v>0</v>
      </c>
      <c r="H148" s="153"/>
    </row>
    <row r="149" spans="1:12" s="127" customFormat="1">
      <c r="A149" s="166" t="s">
        <v>163</v>
      </c>
      <c r="B149" s="173" t="s">
        <v>170</v>
      </c>
      <c r="C149" s="149"/>
      <c r="D149" s="149"/>
      <c r="E149" s="149"/>
      <c r="F149" s="149"/>
      <c r="G149" s="152">
        <f t="shared" si="9"/>
        <v>0</v>
      </c>
      <c r="H149" s="153"/>
    </row>
    <row r="150" spans="1:12" s="127" customFormat="1">
      <c r="A150" s="166" t="s">
        <v>165</v>
      </c>
      <c r="B150" s="173" t="s">
        <v>171</v>
      </c>
      <c r="C150" s="149"/>
      <c r="D150" s="149"/>
      <c r="E150" s="149"/>
      <c r="F150" s="149"/>
      <c r="G150" s="152">
        <f t="shared" si="9"/>
        <v>0</v>
      </c>
      <c r="H150" s="153"/>
    </row>
    <row r="151" spans="1:12" s="127" customFormat="1">
      <c r="A151" s="418" t="s">
        <v>172</v>
      </c>
      <c r="B151" s="419"/>
      <c r="C151" s="419"/>
      <c r="D151" s="419"/>
      <c r="E151" s="419"/>
      <c r="F151" s="419"/>
      <c r="G151" s="419"/>
      <c r="H151" s="420"/>
    </row>
    <row r="152" spans="1:12" s="127" customFormat="1" ht="52.5" customHeight="1">
      <c r="A152" s="167" t="s">
        <v>257</v>
      </c>
      <c r="B152" s="173" t="s">
        <v>174</v>
      </c>
      <c r="C152" s="152">
        <f>C153+C154+C155+C156+C157+C158</f>
        <v>112.5</v>
      </c>
      <c r="D152" s="152">
        <f>D153+D154+D155+D156+D157+D158</f>
        <v>109</v>
      </c>
      <c r="E152" s="152">
        <f>E153+E154+E155+E156+E157+E158</f>
        <v>120</v>
      </c>
      <c r="F152" s="152">
        <f>F153+F154+F155+F156+F157+F158</f>
        <v>109</v>
      </c>
      <c r="G152" s="152">
        <f t="shared" ref="G152:G180" si="10">F152-E152</f>
        <v>-11</v>
      </c>
      <c r="H152" s="153">
        <f t="shared" ref="H152:H179" si="11">(F152/E152)*100</f>
        <v>90.833333333333329</v>
      </c>
    </row>
    <row r="153" spans="1:12" s="127" customFormat="1">
      <c r="A153" s="164" t="s">
        <v>175</v>
      </c>
      <c r="B153" s="173" t="s">
        <v>176</v>
      </c>
      <c r="C153" s="149">
        <f>'2023'!C153</f>
        <v>1</v>
      </c>
      <c r="D153" s="149">
        <f t="shared" ref="D153:D158" si="12">F153</f>
        <v>1</v>
      </c>
      <c r="E153" s="149">
        <f>план!G153</f>
        <v>1</v>
      </c>
      <c r="F153" s="181">
        <v>1</v>
      </c>
      <c r="G153" s="181">
        <f t="shared" si="10"/>
        <v>0</v>
      </c>
      <c r="H153" s="182">
        <f t="shared" si="11"/>
        <v>100</v>
      </c>
    </row>
    <row r="154" spans="1:12" s="127" customFormat="1">
      <c r="A154" s="164" t="s">
        <v>177</v>
      </c>
      <c r="B154" s="173" t="s">
        <v>178</v>
      </c>
      <c r="C154" s="149">
        <f>'2023'!C154</f>
        <v>4.5</v>
      </c>
      <c r="D154" s="149">
        <f t="shared" si="12"/>
        <v>5</v>
      </c>
      <c r="E154" s="149">
        <f>план!G154</f>
        <v>5</v>
      </c>
      <c r="F154" s="181">
        <v>5</v>
      </c>
      <c r="G154" s="181">
        <f t="shared" si="10"/>
        <v>0</v>
      </c>
      <c r="H154" s="182">
        <f t="shared" si="11"/>
        <v>100</v>
      </c>
    </row>
    <row r="155" spans="1:12" s="127" customFormat="1">
      <c r="A155" s="164" t="s">
        <v>179</v>
      </c>
      <c r="B155" s="173" t="s">
        <v>180</v>
      </c>
      <c r="C155" s="149">
        <f>'2023'!C155</f>
        <v>34</v>
      </c>
      <c r="D155" s="149">
        <f t="shared" si="12"/>
        <v>36</v>
      </c>
      <c r="E155" s="149">
        <f>план!G155</f>
        <v>36</v>
      </c>
      <c r="F155" s="181">
        <v>36</v>
      </c>
      <c r="G155" s="181">
        <f t="shared" si="10"/>
        <v>0</v>
      </c>
      <c r="H155" s="182">
        <f t="shared" si="11"/>
        <v>100</v>
      </c>
    </row>
    <row r="156" spans="1:12" s="127" customFormat="1">
      <c r="A156" s="164" t="s">
        <v>181</v>
      </c>
      <c r="B156" s="173" t="s">
        <v>182</v>
      </c>
      <c r="C156" s="149">
        <f>'2023'!C156</f>
        <v>35</v>
      </c>
      <c r="D156" s="149">
        <f t="shared" si="12"/>
        <v>33</v>
      </c>
      <c r="E156" s="149">
        <f>план!G156</f>
        <v>35</v>
      </c>
      <c r="F156" s="181">
        <v>33</v>
      </c>
      <c r="G156" s="181">
        <f t="shared" si="10"/>
        <v>-2</v>
      </c>
      <c r="H156" s="182">
        <f t="shared" si="11"/>
        <v>94.285714285714278</v>
      </c>
    </row>
    <row r="157" spans="1:12" s="127" customFormat="1">
      <c r="A157" s="164" t="s">
        <v>183</v>
      </c>
      <c r="B157" s="173" t="s">
        <v>184</v>
      </c>
      <c r="C157" s="149">
        <f>'2023'!C157</f>
        <v>18</v>
      </c>
      <c r="D157" s="149">
        <f t="shared" si="12"/>
        <v>16</v>
      </c>
      <c r="E157" s="149">
        <f>план!G157</f>
        <v>22</v>
      </c>
      <c r="F157" s="181">
        <v>16</v>
      </c>
      <c r="G157" s="181">
        <f t="shared" si="10"/>
        <v>-6</v>
      </c>
      <c r="H157" s="182">
        <f t="shared" si="11"/>
        <v>72.727272727272734</v>
      </c>
    </row>
    <row r="158" spans="1:12" s="127" customFormat="1">
      <c r="A158" s="164" t="s">
        <v>185</v>
      </c>
      <c r="B158" s="173" t="s">
        <v>186</v>
      </c>
      <c r="C158" s="149">
        <f>'2023'!C158</f>
        <v>20</v>
      </c>
      <c r="D158" s="149">
        <f t="shared" si="12"/>
        <v>18</v>
      </c>
      <c r="E158" s="149">
        <f>план!G158</f>
        <v>21</v>
      </c>
      <c r="F158" s="183">
        <v>18</v>
      </c>
      <c r="G158" s="181">
        <f t="shared" si="10"/>
        <v>-3</v>
      </c>
      <c r="H158" s="182">
        <f t="shared" si="11"/>
        <v>85.714285714285708</v>
      </c>
    </row>
    <row r="159" spans="1:12" s="127" customFormat="1">
      <c r="A159" s="174" t="s">
        <v>187</v>
      </c>
      <c r="B159" s="173" t="s">
        <v>188</v>
      </c>
      <c r="C159" s="161">
        <f>C160+C161+C162+C163+C164+C165</f>
        <v>4728.348</v>
      </c>
      <c r="D159" s="161">
        <f>D160+D161+D162+D163+D164+D165</f>
        <v>4670.9120000000003</v>
      </c>
      <c r="E159" s="161">
        <f>E160+E161+E162+E163+E164+E165</f>
        <v>6244.8932999999988</v>
      </c>
      <c r="F159" s="161">
        <f>F160+F161+F162+F163+F164+F165</f>
        <v>4670.9120000000003</v>
      </c>
      <c r="G159" s="161">
        <f t="shared" si="10"/>
        <v>-1573.9812999999986</v>
      </c>
      <c r="H159" s="153">
        <f t="shared" si="11"/>
        <v>74.795705476665248</v>
      </c>
      <c r="J159" s="128"/>
      <c r="K159" s="128"/>
      <c r="L159" s="128"/>
    </row>
    <row r="160" spans="1:12" s="127" customFormat="1">
      <c r="A160" s="164" t="s">
        <v>175</v>
      </c>
      <c r="B160" s="173" t="s">
        <v>189</v>
      </c>
      <c r="C160" s="147">
        <f>'2023'!C160</f>
        <v>186.78199999999998</v>
      </c>
      <c r="D160" s="147">
        <f t="shared" ref="D160:D165" si="13">F160</f>
        <v>186.78199999999998</v>
      </c>
      <c r="E160" s="149">
        <f>план!G160</f>
        <v>186.82469999999998</v>
      </c>
      <c r="F160" s="183">
        <f>F167*1.22</f>
        <v>186.78199999999998</v>
      </c>
      <c r="G160" s="181">
        <f t="shared" si="10"/>
        <v>-4.2699999999996407E-2</v>
      </c>
      <c r="H160" s="182">
        <f t="shared" si="11"/>
        <v>99.977144349756756</v>
      </c>
    </row>
    <row r="161" spans="1:11" s="127" customFormat="1">
      <c r="A161" s="164" t="s">
        <v>177</v>
      </c>
      <c r="B161" s="173" t="s">
        <v>190</v>
      </c>
      <c r="C161" s="147">
        <f>'2023'!C161</f>
        <v>292.678</v>
      </c>
      <c r="D161" s="147">
        <f t="shared" si="13"/>
        <v>325.00799999999998</v>
      </c>
      <c r="E161" s="149">
        <f>план!G161</f>
        <v>325.19100000000003</v>
      </c>
      <c r="F161" s="183">
        <f>F168*1.22</f>
        <v>325.00799999999998</v>
      </c>
      <c r="G161" s="181">
        <f t="shared" si="10"/>
        <v>-0.18300000000004957</v>
      </c>
      <c r="H161" s="182">
        <f t="shared" si="11"/>
        <v>99.943725379853674</v>
      </c>
    </row>
    <row r="162" spans="1:11" s="127" customFormat="1">
      <c r="A162" s="164" t="s">
        <v>179</v>
      </c>
      <c r="B162" s="173" t="s">
        <v>191</v>
      </c>
      <c r="C162" s="147">
        <f>'2023'!C162</f>
        <v>1977.846</v>
      </c>
      <c r="D162" s="147">
        <f t="shared" si="13"/>
        <v>1881.1180000000002</v>
      </c>
      <c r="E162" s="149">
        <f>план!G162</f>
        <v>2635.2</v>
      </c>
      <c r="F162" s="183">
        <f>F169*1.22</f>
        <v>1881.1180000000002</v>
      </c>
      <c r="G162" s="183">
        <f t="shared" si="10"/>
        <v>-754.08199999999965</v>
      </c>
      <c r="H162" s="182">
        <f t="shared" si="11"/>
        <v>71.384259259259281</v>
      </c>
      <c r="J162" s="128"/>
    </row>
    <row r="163" spans="1:11" s="127" customFormat="1">
      <c r="A163" s="164" t="s">
        <v>181</v>
      </c>
      <c r="B163" s="173" t="s">
        <v>192</v>
      </c>
      <c r="C163" s="147">
        <f>'2023'!C163</f>
        <v>1313.2080000000001</v>
      </c>
      <c r="D163" s="147">
        <f t="shared" si="13"/>
        <v>1302.106</v>
      </c>
      <c r="E163" s="149">
        <f>план!G163</f>
        <v>1729.35</v>
      </c>
      <c r="F163" s="183">
        <f>F170*1.22</f>
        <v>1302.106</v>
      </c>
      <c r="G163" s="183">
        <f t="shared" si="10"/>
        <v>-427.24399999999991</v>
      </c>
      <c r="H163" s="182">
        <f t="shared" si="11"/>
        <v>75.294532627865962</v>
      </c>
      <c r="J163" s="128"/>
      <c r="K163" s="272"/>
    </row>
    <row r="164" spans="1:11" s="127" customFormat="1">
      <c r="A164" s="164" t="s">
        <v>183</v>
      </c>
      <c r="B164" s="173" t="s">
        <v>193</v>
      </c>
      <c r="C164" s="147">
        <f>'2023'!C164</f>
        <v>369.666</v>
      </c>
      <c r="D164" s="147">
        <f t="shared" si="13"/>
        <v>422.13</v>
      </c>
      <c r="E164" s="149">
        <f>план!G164</f>
        <v>647.38080000000002</v>
      </c>
      <c r="F164" s="183">
        <f>F171*1.22+5.5</f>
        <v>422.13</v>
      </c>
      <c r="G164" s="183">
        <f t="shared" si="10"/>
        <v>-225.25080000000003</v>
      </c>
      <c r="H164" s="182">
        <f t="shared" si="11"/>
        <v>65.205826308101805</v>
      </c>
    </row>
    <row r="165" spans="1:11" s="127" customFormat="1">
      <c r="A165" s="164" t="s">
        <v>185</v>
      </c>
      <c r="B165" s="173" t="s">
        <v>194</v>
      </c>
      <c r="C165" s="147">
        <f>'2023'!C165</f>
        <v>588.16799999999989</v>
      </c>
      <c r="D165" s="147">
        <f t="shared" si="13"/>
        <v>553.76799999999992</v>
      </c>
      <c r="E165" s="149">
        <f>план!G165</f>
        <v>720.94680000000005</v>
      </c>
      <c r="F165" s="183">
        <f>F172*1.22+5.5</f>
        <v>553.76799999999992</v>
      </c>
      <c r="G165" s="183">
        <f t="shared" si="10"/>
        <v>-167.17880000000014</v>
      </c>
      <c r="H165" s="182">
        <f t="shared" si="11"/>
        <v>76.811215473874057</v>
      </c>
    </row>
    <row r="166" spans="1:11" s="127" customFormat="1">
      <c r="A166" s="167" t="s">
        <v>195</v>
      </c>
      <c r="B166" s="173" t="s">
        <v>196</v>
      </c>
      <c r="C166" s="152">
        <f>C167+C168+C169+C170+C171+C172</f>
        <v>3853.4</v>
      </c>
      <c r="D166" s="161">
        <f>D167+D168+D169+D170+D171+D172</f>
        <v>3819.6</v>
      </c>
      <c r="E166" s="161">
        <f>E167+E168+E169+E170+E171+E172</f>
        <v>5118.7649999999994</v>
      </c>
      <c r="F166" s="161">
        <f>F167+F168+F169+F170+F171+F172</f>
        <v>3819.6</v>
      </c>
      <c r="G166" s="161">
        <f t="shared" si="10"/>
        <v>-1299.1649999999995</v>
      </c>
      <c r="H166" s="153">
        <f t="shared" si="11"/>
        <v>74.619561554398388</v>
      </c>
      <c r="J166" s="132"/>
    </row>
    <row r="167" spans="1:11" s="127" customFormat="1">
      <c r="A167" s="164" t="s">
        <v>175</v>
      </c>
      <c r="B167" s="173" t="s">
        <v>197</v>
      </c>
      <c r="C167" s="147">
        <f>'2023'!C167</f>
        <v>153.1</v>
      </c>
      <c r="D167" s="147">
        <f t="shared" ref="D167:D172" si="14">F167</f>
        <v>153.1</v>
      </c>
      <c r="E167" s="170">
        <f>план!G167</f>
        <v>153.13499999999999</v>
      </c>
      <c r="F167" s="183">
        <v>153.1</v>
      </c>
      <c r="G167" s="183">
        <f t="shared" si="10"/>
        <v>-3.4999999999996589E-2</v>
      </c>
      <c r="H167" s="182">
        <f t="shared" si="11"/>
        <v>99.977144349756756</v>
      </c>
      <c r="J167" s="128"/>
    </row>
    <row r="168" spans="1:11" s="127" customFormat="1">
      <c r="A168" s="164" t="s">
        <v>177</v>
      </c>
      <c r="B168" s="173" t="s">
        <v>198</v>
      </c>
      <c r="C168" s="147">
        <f>'2023'!C168</f>
        <v>239.9</v>
      </c>
      <c r="D168" s="147">
        <f t="shared" si="14"/>
        <v>266.39999999999998</v>
      </c>
      <c r="E168" s="170">
        <f>план!G168</f>
        <v>266.55</v>
      </c>
      <c r="F168" s="183">
        <f>311.4-45</f>
        <v>266.39999999999998</v>
      </c>
      <c r="G168" s="183">
        <f t="shared" si="10"/>
        <v>-0.15000000000003411</v>
      </c>
      <c r="H168" s="182">
        <f t="shared" si="11"/>
        <v>99.943725379853674</v>
      </c>
      <c r="J168" s="128"/>
    </row>
    <row r="169" spans="1:11" s="127" customFormat="1">
      <c r="A169" s="164" t="s">
        <v>179</v>
      </c>
      <c r="B169" s="173" t="s">
        <v>199</v>
      </c>
      <c r="C169" s="147">
        <f>'2023'!C169</f>
        <v>1614.3</v>
      </c>
      <c r="D169" s="147">
        <f t="shared" si="14"/>
        <v>1541.9</v>
      </c>
      <c r="E169" s="170">
        <f>план!G169</f>
        <v>2160</v>
      </c>
      <c r="F169" s="183">
        <v>1541.9</v>
      </c>
      <c r="G169" s="183">
        <f t="shared" si="10"/>
        <v>-618.09999999999991</v>
      </c>
      <c r="H169" s="182">
        <f t="shared" si="11"/>
        <v>71.384259259259267</v>
      </c>
      <c r="J169" s="128"/>
    </row>
    <row r="170" spans="1:11" s="127" customFormat="1">
      <c r="A170" s="164" t="s">
        <v>181</v>
      </c>
      <c r="B170" s="173" t="s">
        <v>200</v>
      </c>
      <c r="C170" s="147">
        <f>'2023'!C170</f>
        <v>1076.4000000000001</v>
      </c>
      <c r="D170" s="147">
        <f t="shared" si="14"/>
        <v>1067.3</v>
      </c>
      <c r="E170" s="170">
        <f>план!G170</f>
        <v>1417.5</v>
      </c>
      <c r="F170" s="183">
        <v>1067.3</v>
      </c>
      <c r="G170" s="183">
        <f t="shared" si="10"/>
        <v>-350.20000000000005</v>
      </c>
      <c r="H170" s="182">
        <f t="shared" si="11"/>
        <v>75.294532627865962</v>
      </c>
      <c r="J170" s="128"/>
    </row>
    <row r="171" spans="1:11" s="127" customFormat="1">
      <c r="A171" s="164" t="s">
        <v>183</v>
      </c>
      <c r="B171" s="173" t="s">
        <v>201</v>
      </c>
      <c r="C171" s="147">
        <f>'2023'!C171</f>
        <v>295.3</v>
      </c>
      <c r="D171" s="147">
        <f t="shared" si="14"/>
        <v>341.5</v>
      </c>
      <c r="E171" s="170">
        <f>план!G171</f>
        <v>530.64</v>
      </c>
      <c r="F171" s="183">
        <v>341.5</v>
      </c>
      <c r="G171" s="183">
        <f t="shared" si="10"/>
        <v>-189.14</v>
      </c>
      <c r="H171" s="182">
        <f t="shared" si="11"/>
        <v>64.356249057741593</v>
      </c>
    </row>
    <row r="172" spans="1:11" s="127" customFormat="1">
      <c r="A172" s="164" t="s">
        <v>185</v>
      </c>
      <c r="B172" s="173" t="s">
        <v>202</v>
      </c>
      <c r="C172" s="147">
        <f>'2023'!C172</f>
        <v>474.4</v>
      </c>
      <c r="D172" s="147">
        <f t="shared" si="14"/>
        <v>449.4</v>
      </c>
      <c r="E172" s="170">
        <f>план!G172</f>
        <v>590.94000000000005</v>
      </c>
      <c r="F172" s="183">
        <f>404.4+45</f>
        <v>449.4</v>
      </c>
      <c r="G172" s="183">
        <f t="shared" si="10"/>
        <v>-141.54000000000008</v>
      </c>
      <c r="H172" s="182">
        <f t="shared" si="11"/>
        <v>76.048329779673054</v>
      </c>
    </row>
    <row r="173" spans="1:11" s="127" customFormat="1" ht="31.5">
      <c r="A173" s="167" t="s">
        <v>203</v>
      </c>
      <c r="B173" s="173" t="s">
        <v>204</v>
      </c>
      <c r="C173" s="160">
        <f>C166/C152/3*1000</f>
        <v>11417.481481481482</v>
      </c>
      <c r="D173" s="175">
        <f t="shared" ref="D173:F179" si="15">D166/D152/3*1000</f>
        <v>11680.733944954127</v>
      </c>
      <c r="E173" s="175">
        <f t="shared" si="15"/>
        <v>14218.791666666666</v>
      </c>
      <c r="F173" s="175">
        <f t="shared" si="15"/>
        <v>11680.733944954127</v>
      </c>
      <c r="G173" s="161">
        <f t="shared" si="10"/>
        <v>-2538.0577217125392</v>
      </c>
      <c r="H173" s="153">
        <f t="shared" si="11"/>
        <v>82.14997602319086</v>
      </c>
    </row>
    <row r="174" spans="1:11" s="127" customFormat="1">
      <c r="A174" s="164" t="s">
        <v>175</v>
      </c>
      <c r="B174" s="173" t="s">
        <v>205</v>
      </c>
      <c r="C174" s="170">
        <f t="shared" ref="C174:C179" si="16">C167/C153/3*1000</f>
        <v>51033.333333333328</v>
      </c>
      <c r="D174" s="176">
        <f t="shared" si="15"/>
        <v>51033.333333333328</v>
      </c>
      <c r="E174" s="147">
        <f t="shared" si="15"/>
        <v>51044.999999999993</v>
      </c>
      <c r="F174" s="184">
        <f>F167/F153/3*1000</f>
        <v>51033.333333333328</v>
      </c>
      <c r="G174" s="183">
        <f t="shared" si="10"/>
        <v>-11.666666666664241</v>
      </c>
      <c r="H174" s="182">
        <f t="shared" si="11"/>
        <v>99.977144349756756</v>
      </c>
    </row>
    <row r="175" spans="1:11" s="127" customFormat="1">
      <c r="A175" s="164" t="s">
        <v>177</v>
      </c>
      <c r="B175" s="173" t="s">
        <v>206</v>
      </c>
      <c r="C175" s="170">
        <f t="shared" si="16"/>
        <v>17770.370370370369</v>
      </c>
      <c r="D175" s="176">
        <f t="shared" si="15"/>
        <v>17759.999999999996</v>
      </c>
      <c r="E175" s="147">
        <f>E168/E154/3*1000</f>
        <v>17770</v>
      </c>
      <c r="F175" s="184">
        <f t="shared" si="15"/>
        <v>17759.999999999996</v>
      </c>
      <c r="G175" s="183">
        <f t="shared" si="10"/>
        <v>-10.000000000003638</v>
      </c>
      <c r="H175" s="182">
        <f t="shared" si="11"/>
        <v>99.94372537985366</v>
      </c>
    </row>
    <row r="176" spans="1:11" s="127" customFormat="1">
      <c r="A176" s="164" t="s">
        <v>179</v>
      </c>
      <c r="B176" s="173" t="s">
        <v>207</v>
      </c>
      <c r="C176" s="170">
        <f t="shared" si="16"/>
        <v>15826.470588235294</v>
      </c>
      <c r="D176" s="176">
        <f t="shared" si="15"/>
        <v>14276.851851851852</v>
      </c>
      <c r="E176" s="147">
        <f>E169/E155/3*1000</f>
        <v>20000</v>
      </c>
      <c r="F176" s="184">
        <f t="shared" si="15"/>
        <v>14276.851851851852</v>
      </c>
      <c r="G176" s="183">
        <f t="shared" si="10"/>
        <v>-5723.1481481481478</v>
      </c>
      <c r="H176" s="182">
        <f t="shared" si="11"/>
        <v>71.384259259259267</v>
      </c>
    </row>
    <row r="177" spans="1:9" s="127" customFormat="1">
      <c r="A177" s="164" t="s">
        <v>181</v>
      </c>
      <c r="B177" s="173" t="s">
        <v>208</v>
      </c>
      <c r="C177" s="170">
        <f t="shared" si="16"/>
        <v>10251.428571428572</v>
      </c>
      <c r="D177" s="176">
        <f t="shared" si="15"/>
        <v>10780.808080808081</v>
      </c>
      <c r="E177" s="147">
        <f>E170/E156/3*1000</f>
        <v>13500</v>
      </c>
      <c r="F177" s="184">
        <f t="shared" si="15"/>
        <v>10780.808080808081</v>
      </c>
      <c r="G177" s="183">
        <f t="shared" si="10"/>
        <v>-2719.1919191919187</v>
      </c>
      <c r="H177" s="182">
        <f t="shared" si="11"/>
        <v>79.857837635615411</v>
      </c>
    </row>
    <row r="178" spans="1:9" s="127" customFormat="1">
      <c r="A178" s="164" t="s">
        <v>183</v>
      </c>
      <c r="B178" s="173" t="s">
        <v>209</v>
      </c>
      <c r="C178" s="170">
        <f t="shared" si="16"/>
        <v>5468.5185185185182</v>
      </c>
      <c r="D178" s="176">
        <f t="shared" si="15"/>
        <v>7114.583333333333</v>
      </c>
      <c r="E178" s="147">
        <f>E171/E157/3*1000</f>
        <v>8040.0000000000009</v>
      </c>
      <c r="F178" s="184">
        <f t="shared" si="15"/>
        <v>7114.583333333333</v>
      </c>
      <c r="G178" s="183">
        <f t="shared" si="10"/>
        <v>-925.41666666666788</v>
      </c>
      <c r="H178" s="182">
        <f t="shared" si="11"/>
        <v>88.48984245439469</v>
      </c>
    </row>
    <row r="179" spans="1:9" s="127" customFormat="1">
      <c r="A179" s="164" t="s">
        <v>185</v>
      </c>
      <c r="B179" s="173" t="s">
        <v>210</v>
      </c>
      <c r="C179" s="170">
        <f t="shared" si="16"/>
        <v>7906.6666666666661</v>
      </c>
      <c r="D179" s="176">
        <f t="shared" si="15"/>
        <v>8322.2222222222208</v>
      </c>
      <c r="E179" s="147">
        <f>E172/E158/3*1000</f>
        <v>9380</v>
      </c>
      <c r="F179" s="184">
        <f>F172/F158/3*1000</f>
        <v>8322.2222222222208</v>
      </c>
      <c r="G179" s="183">
        <f t="shared" si="10"/>
        <v>-1057.7777777777792</v>
      </c>
      <c r="H179" s="182">
        <f t="shared" si="11"/>
        <v>88.723051409618563</v>
      </c>
    </row>
    <row r="180" spans="1:9" s="127" customFormat="1" ht="31.5">
      <c r="A180" s="164" t="s">
        <v>211</v>
      </c>
      <c r="B180" s="173" t="s">
        <v>212</v>
      </c>
      <c r="C180" s="176">
        <f>'2023'!C180</f>
        <v>1880.8</v>
      </c>
      <c r="D180" s="171"/>
      <c r="E180" s="170"/>
      <c r="F180" s="184"/>
      <c r="G180" s="184">
        <f t="shared" si="10"/>
        <v>0</v>
      </c>
      <c r="H180" s="182"/>
    </row>
    <row r="181" spans="1:9" s="127" customFormat="1" ht="20.100000000000001" customHeight="1">
      <c r="A181" s="133"/>
      <c r="B181" s="134"/>
      <c r="C181" s="135"/>
      <c r="D181" s="135"/>
      <c r="E181" s="136"/>
      <c r="F181" s="136"/>
      <c r="G181" s="136"/>
      <c r="H181" s="137"/>
    </row>
    <row r="182" spans="1:9" s="127" customFormat="1" ht="42.6" customHeight="1">
      <c r="A182" s="138" t="s">
        <v>252</v>
      </c>
      <c r="B182" s="407" t="s">
        <v>249</v>
      </c>
      <c r="C182" s="407"/>
      <c r="D182" s="407"/>
      <c r="E182" s="407"/>
      <c r="F182" s="407"/>
      <c r="G182" s="407"/>
      <c r="H182" s="407"/>
    </row>
    <row r="183" spans="1:9" ht="18.75" customHeight="1">
      <c r="A183" s="138"/>
      <c r="C183" s="427"/>
      <c r="D183" s="427"/>
      <c r="E183" s="427"/>
      <c r="F183" s="427"/>
      <c r="G183" s="408"/>
      <c r="H183" s="408"/>
    </row>
    <row r="184" spans="1:9" s="139" customFormat="1" ht="20.100000000000001" customHeight="1">
      <c r="A184" s="110"/>
      <c r="B184" s="104"/>
      <c r="C184" s="408"/>
      <c r="D184" s="408"/>
      <c r="E184" s="408"/>
      <c r="F184" s="408"/>
      <c r="G184" s="408"/>
      <c r="H184" s="408"/>
      <c r="I184" s="111"/>
    </row>
    <row r="185" spans="1:9">
      <c r="A185" s="140"/>
    </row>
    <row r="186" spans="1:9">
      <c r="A186" s="140"/>
    </row>
    <row r="187" spans="1:9">
      <c r="A187" s="140"/>
    </row>
    <row r="188" spans="1:9">
      <c r="A188" s="140"/>
    </row>
    <row r="189" spans="1:9">
      <c r="A189" s="140"/>
    </row>
    <row r="190" spans="1:9">
      <c r="A190" s="140"/>
    </row>
    <row r="191" spans="1:9">
      <c r="A191" s="140"/>
    </row>
    <row r="192" spans="1:9">
      <c r="A192" s="140"/>
    </row>
    <row r="193" spans="1:1">
      <c r="A193" s="140"/>
    </row>
    <row r="194" spans="1:1">
      <c r="A194" s="140"/>
    </row>
    <row r="195" spans="1:1">
      <c r="A195" s="140"/>
    </row>
    <row r="196" spans="1:1">
      <c r="A196" s="140"/>
    </row>
    <row r="197" spans="1:1">
      <c r="A197" s="140"/>
    </row>
    <row r="198" spans="1:1">
      <c r="A198" s="140"/>
    </row>
    <row r="199" spans="1:1">
      <c r="A199" s="140"/>
    </row>
    <row r="200" spans="1:1">
      <c r="A200" s="140"/>
    </row>
    <row r="201" spans="1:1">
      <c r="A201" s="140"/>
    </row>
    <row r="202" spans="1:1">
      <c r="A202" s="140"/>
    </row>
    <row r="203" spans="1:1">
      <c r="A203" s="140"/>
    </row>
    <row r="204" spans="1:1">
      <c r="A204" s="140"/>
    </row>
    <row r="205" spans="1:1">
      <c r="A205" s="140"/>
    </row>
    <row r="206" spans="1:1">
      <c r="A206" s="140"/>
    </row>
    <row r="207" spans="1:1">
      <c r="A207" s="140"/>
    </row>
    <row r="208" spans="1:1">
      <c r="A208" s="140"/>
    </row>
    <row r="209" spans="1:1">
      <c r="A209" s="140"/>
    </row>
    <row r="210" spans="1:1">
      <c r="A210" s="140"/>
    </row>
    <row r="211" spans="1:1">
      <c r="A211" s="140"/>
    </row>
    <row r="212" spans="1:1">
      <c r="A212" s="140"/>
    </row>
    <row r="213" spans="1:1">
      <c r="A213" s="140"/>
    </row>
    <row r="214" spans="1:1">
      <c r="A214" s="140"/>
    </row>
    <row r="215" spans="1:1">
      <c r="A215" s="140"/>
    </row>
    <row r="216" spans="1:1">
      <c r="A216" s="140"/>
    </row>
    <row r="217" spans="1:1">
      <c r="A217" s="140"/>
    </row>
    <row r="218" spans="1:1">
      <c r="A218" s="140"/>
    </row>
    <row r="219" spans="1:1">
      <c r="A219" s="140"/>
    </row>
    <row r="220" spans="1:1">
      <c r="A220" s="140"/>
    </row>
    <row r="221" spans="1:1">
      <c r="A221" s="140"/>
    </row>
    <row r="222" spans="1:1">
      <c r="A222" s="140"/>
    </row>
    <row r="223" spans="1:1">
      <c r="A223" s="140"/>
    </row>
    <row r="224" spans="1:1">
      <c r="A224" s="140"/>
    </row>
    <row r="225" spans="1:1">
      <c r="A225" s="140"/>
    </row>
    <row r="226" spans="1:1">
      <c r="A226" s="140"/>
    </row>
    <row r="227" spans="1:1">
      <c r="A227" s="140"/>
    </row>
    <row r="228" spans="1:1">
      <c r="A228" s="140"/>
    </row>
    <row r="229" spans="1:1">
      <c r="A229" s="140"/>
    </row>
    <row r="230" spans="1:1">
      <c r="A230" s="140"/>
    </row>
    <row r="231" spans="1:1">
      <c r="A231" s="140"/>
    </row>
    <row r="232" spans="1:1">
      <c r="A232" s="140"/>
    </row>
    <row r="233" spans="1:1">
      <c r="A233" s="140"/>
    </row>
    <row r="234" spans="1:1">
      <c r="A234" s="140"/>
    </row>
    <row r="235" spans="1:1">
      <c r="A235" s="140"/>
    </row>
    <row r="236" spans="1:1">
      <c r="A236" s="140"/>
    </row>
    <row r="237" spans="1:1">
      <c r="A237" s="140"/>
    </row>
    <row r="238" spans="1:1">
      <c r="A238" s="140"/>
    </row>
    <row r="239" spans="1:1">
      <c r="A239" s="140"/>
    </row>
    <row r="240" spans="1:1">
      <c r="A240" s="140"/>
    </row>
    <row r="241" spans="1:1">
      <c r="A241" s="140"/>
    </row>
    <row r="242" spans="1:1">
      <c r="A242" s="140"/>
    </row>
    <row r="243" spans="1:1">
      <c r="A243" s="140"/>
    </row>
    <row r="244" spans="1:1">
      <c r="A244" s="140"/>
    </row>
    <row r="245" spans="1:1">
      <c r="A245" s="140"/>
    </row>
    <row r="246" spans="1:1">
      <c r="A246" s="140"/>
    </row>
    <row r="247" spans="1:1">
      <c r="A247" s="140"/>
    </row>
    <row r="248" spans="1:1">
      <c r="A248" s="140"/>
    </row>
    <row r="249" spans="1:1">
      <c r="A249" s="140"/>
    </row>
    <row r="250" spans="1:1">
      <c r="A250" s="140"/>
    </row>
    <row r="251" spans="1:1">
      <c r="A251" s="140"/>
    </row>
    <row r="252" spans="1:1">
      <c r="A252" s="140"/>
    </row>
    <row r="253" spans="1:1">
      <c r="A253" s="140"/>
    </row>
    <row r="254" spans="1:1">
      <c r="A254" s="140"/>
    </row>
    <row r="255" spans="1:1">
      <c r="A255" s="140"/>
    </row>
    <row r="256" spans="1:1">
      <c r="A256" s="140"/>
    </row>
    <row r="257" spans="1:1">
      <c r="A257" s="140"/>
    </row>
    <row r="258" spans="1:1">
      <c r="A258" s="140"/>
    </row>
    <row r="259" spans="1:1">
      <c r="A259" s="140"/>
    </row>
    <row r="260" spans="1:1">
      <c r="A260" s="140"/>
    </row>
    <row r="261" spans="1:1">
      <c r="A261" s="140"/>
    </row>
    <row r="262" spans="1:1">
      <c r="A262" s="140"/>
    </row>
    <row r="263" spans="1:1">
      <c r="A263" s="140"/>
    </row>
    <row r="264" spans="1:1">
      <c r="A264" s="140"/>
    </row>
    <row r="265" spans="1:1">
      <c r="A265" s="140"/>
    </row>
    <row r="266" spans="1:1">
      <c r="A266" s="140"/>
    </row>
    <row r="267" spans="1:1">
      <c r="A267" s="140"/>
    </row>
    <row r="268" spans="1:1">
      <c r="A268" s="140"/>
    </row>
    <row r="269" spans="1:1">
      <c r="A269" s="140"/>
    </row>
    <row r="270" spans="1:1">
      <c r="A270" s="140"/>
    </row>
    <row r="271" spans="1:1">
      <c r="A271" s="140"/>
    </row>
    <row r="272" spans="1:1">
      <c r="A272" s="140"/>
    </row>
    <row r="273" spans="1:1">
      <c r="A273" s="140"/>
    </row>
    <row r="274" spans="1:1">
      <c r="A274" s="140"/>
    </row>
    <row r="275" spans="1:1">
      <c r="A275" s="140"/>
    </row>
    <row r="276" spans="1:1">
      <c r="A276" s="140"/>
    </row>
    <row r="277" spans="1:1">
      <c r="A277" s="140"/>
    </row>
    <row r="278" spans="1:1">
      <c r="A278" s="140"/>
    </row>
    <row r="279" spans="1:1">
      <c r="A279" s="140"/>
    </row>
    <row r="280" spans="1:1">
      <c r="A280" s="140"/>
    </row>
    <row r="281" spans="1:1">
      <c r="A281" s="140"/>
    </row>
    <row r="282" spans="1:1">
      <c r="A282" s="140"/>
    </row>
    <row r="283" spans="1:1">
      <c r="A283" s="140"/>
    </row>
    <row r="284" spans="1:1">
      <c r="A284" s="140"/>
    </row>
    <row r="285" spans="1:1">
      <c r="A285" s="140"/>
    </row>
    <row r="286" spans="1:1">
      <c r="A286" s="140"/>
    </row>
    <row r="287" spans="1:1">
      <c r="A287" s="140"/>
    </row>
    <row r="288" spans="1:1">
      <c r="A288" s="140"/>
    </row>
    <row r="289" spans="1:1">
      <c r="A289" s="140"/>
    </row>
    <row r="290" spans="1:1">
      <c r="A290" s="140"/>
    </row>
    <row r="291" spans="1:1">
      <c r="A291" s="140"/>
    </row>
    <row r="292" spans="1:1">
      <c r="A292" s="140"/>
    </row>
    <row r="293" spans="1:1">
      <c r="A293" s="140"/>
    </row>
    <row r="294" spans="1:1">
      <c r="A294" s="140"/>
    </row>
    <row r="295" spans="1:1">
      <c r="A295" s="140"/>
    </row>
    <row r="296" spans="1:1">
      <c r="A296" s="140"/>
    </row>
    <row r="297" spans="1:1">
      <c r="A297" s="140"/>
    </row>
    <row r="298" spans="1:1">
      <c r="A298" s="140"/>
    </row>
    <row r="299" spans="1:1">
      <c r="A299" s="140"/>
    </row>
    <row r="300" spans="1:1">
      <c r="A300" s="140"/>
    </row>
    <row r="301" spans="1:1">
      <c r="A301" s="140"/>
    </row>
    <row r="302" spans="1:1">
      <c r="A302" s="140"/>
    </row>
    <row r="303" spans="1:1">
      <c r="A303" s="140"/>
    </row>
    <row r="304" spans="1:1">
      <c r="A304" s="140"/>
    </row>
    <row r="305" spans="1:1">
      <c r="A305" s="140"/>
    </row>
    <row r="306" spans="1:1">
      <c r="A306" s="140"/>
    </row>
    <row r="307" spans="1:1">
      <c r="A307" s="140"/>
    </row>
    <row r="308" spans="1:1">
      <c r="A308" s="140"/>
    </row>
    <row r="309" spans="1:1">
      <c r="A309" s="140"/>
    </row>
    <row r="310" spans="1:1">
      <c r="A310" s="140"/>
    </row>
    <row r="311" spans="1:1">
      <c r="A311" s="140"/>
    </row>
    <row r="312" spans="1:1">
      <c r="A312" s="140"/>
    </row>
    <row r="313" spans="1:1">
      <c r="A313" s="140"/>
    </row>
    <row r="314" spans="1:1">
      <c r="A314" s="140"/>
    </row>
    <row r="315" spans="1:1">
      <c r="A315" s="140"/>
    </row>
    <row r="316" spans="1:1">
      <c r="A316" s="140"/>
    </row>
    <row r="317" spans="1:1">
      <c r="A317" s="140"/>
    </row>
    <row r="318" spans="1:1">
      <c r="A318" s="140"/>
    </row>
    <row r="319" spans="1:1">
      <c r="A319" s="140"/>
    </row>
    <row r="320" spans="1:1">
      <c r="A320" s="140"/>
    </row>
    <row r="321" spans="1:1">
      <c r="A321" s="140"/>
    </row>
    <row r="322" spans="1:1">
      <c r="A322" s="140"/>
    </row>
    <row r="323" spans="1:1">
      <c r="A323" s="140"/>
    </row>
    <row r="324" spans="1:1">
      <c r="A324" s="140"/>
    </row>
    <row r="325" spans="1:1">
      <c r="A325" s="140"/>
    </row>
    <row r="326" spans="1:1">
      <c r="A326" s="140"/>
    </row>
    <row r="327" spans="1:1">
      <c r="A327" s="140"/>
    </row>
    <row r="328" spans="1:1">
      <c r="A328" s="140"/>
    </row>
    <row r="329" spans="1:1">
      <c r="A329" s="140"/>
    </row>
    <row r="330" spans="1:1">
      <c r="A330" s="140"/>
    </row>
    <row r="331" spans="1:1">
      <c r="A331" s="140"/>
    </row>
    <row r="332" spans="1:1">
      <c r="A332" s="140"/>
    </row>
    <row r="333" spans="1:1">
      <c r="A333" s="140"/>
    </row>
    <row r="334" spans="1:1">
      <c r="A334" s="140"/>
    </row>
    <row r="335" spans="1:1">
      <c r="A335" s="140"/>
    </row>
    <row r="336" spans="1:1">
      <c r="A336" s="140"/>
    </row>
    <row r="337" spans="1:1">
      <c r="A337" s="140"/>
    </row>
    <row r="338" spans="1:1">
      <c r="A338" s="140"/>
    </row>
    <row r="339" spans="1:1">
      <c r="A339" s="140"/>
    </row>
    <row r="340" spans="1:1">
      <c r="A340" s="140"/>
    </row>
    <row r="341" spans="1:1">
      <c r="A341" s="140"/>
    </row>
    <row r="342" spans="1:1">
      <c r="A342" s="140"/>
    </row>
    <row r="343" spans="1:1">
      <c r="A343" s="141"/>
    </row>
    <row r="344" spans="1:1">
      <c r="A344" s="141"/>
    </row>
    <row r="345" spans="1:1">
      <c r="A345" s="141"/>
    </row>
    <row r="346" spans="1:1">
      <c r="A346" s="141"/>
    </row>
    <row r="347" spans="1:1">
      <c r="A347" s="141"/>
    </row>
    <row r="348" spans="1:1">
      <c r="A348" s="141"/>
    </row>
    <row r="349" spans="1:1">
      <c r="A349" s="141"/>
    </row>
    <row r="350" spans="1:1">
      <c r="A350" s="141"/>
    </row>
    <row r="351" spans="1:1">
      <c r="A351" s="141"/>
    </row>
    <row r="352" spans="1:1">
      <c r="A352" s="141"/>
    </row>
    <row r="353" spans="1:1">
      <c r="A353" s="141"/>
    </row>
    <row r="354" spans="1:1">
      <c r="A354" s="141"/>
    </row>
    <row r="355" spans="1:1">
      <c r="A355" s="141"/>
    </row>
    <row r="356" spans="1:1">
      <c r="A356" s="141"/>
    </row>
    <row r="357" spans="1:1">
      <c r="A357" s="141"/>
    </row>
    <row r="358" spans="1:1">
      <c r="A358" s="141"/>
    </row>
    <row r="359" spans="1:1">
      <c r="A359" s="141"/>
    </row>
    <row r="360" spans="1:1">
      <c r="A360" s="141"/>
    </row>
    <row r="361" spans="1:1">
      <c r="A361" s="141"/>
    </row>
    <row r="362" spans="1:1">
      <c r="A362" s="141"/>
    </row>
    <row r="363" spans="1:1">
      <c r="A363" s="141"/>
    </row>
    <row r="364" spans="1:1">
      <c r="A364" s="141"/>
    </row>
    <row r="365" spans="1:1">
      <c r="A365" s="141"/>
    </row>
    <row r="366" spans="1:1">
      <c r="A366" s="141"/>
    </row>
    <row r="367" spans="1:1">
      <c r="A367" s="141"/>
    </row>
    <row r="368" spans="1:1">
      <c r="A368" s="141"/>
    </row>
    <row r="369" spans="1:1">
      <c r="A369" s="141"/>
    </row>
    <row r="370" spans="1:1">
      <c r="A370" s="141"/>
    </row>
    <row r="371" spans="1:1">
      <c r="A371" s="141"/>
    </row>
    <row r="372" spans="1:1">
      <c r="A372" s="141"/>
    </row>
    <row r="373" spans="1:1">
      <c r="A373" s="141"/>
    </row>
    <row r="374" spans="1:1">
      <c r="A374" s="141"/>
    </row>
    <row r="375" spans="1:1">
      <c r="A375" s="141"/>
    </row>
    <row r="376" spans="1:1">
      <c r="A376" s="141"/>
    </row>
    <row r="377" spans="1:1">
      <c r="A377" s="141"/>
    </row>
    <row r="378" spans="1:1">
      <c r="A378" s="141"/>
    </row>
    <row r="379" spans="1:1">
      <c r="A379" s="141"/>
    </row>
    <row r="380" spans="1:1">
      <c r="A380" s="141"/>
    </row>
    <row r="381" spans="1:1">
      <c r="A381" s="141"/>
    </row>
    <row r="382" spans="1:1">
      <c r="A382" s="141"/>
    </row>
    <row r="383" spans="1:1">
      <c r="A383" s="141"/>
    </row>
    <row r="384" spans="1:1">
      <c r="A384" s="141"/>
    </row>
    <row r="385" spans="1:1">
      <c r="A385" s="141"/>
    </row>
    <row r="386" spans="1:1">
      <c r="A386" s="141"/>
    </row>
    <row r="387" spans="1:1">
      <c r="A387" s="141"/>
    </row>
    <row r="388" spans="1:1">
      <c r="A388" s="141"/>
    </row>
    <row r="389" spans="1:1">
      <c r="A389" s="141"/>
    </row>
    <row r="390" spans="1:1">
      <c r="A390" s="141"/>
    </row>
    <row r="391" spans="1:1">
      <c r="A391" s="141"/>
    </row>
    <row r="392" spans="1:1">
      <c r="A392" s="141"/>
    </row>
    <row r="393" spans="1:1">
      <c r="A393" s="141"/>
    </row>
    <row r="394" spans="1:1">
      <c r="A394" s="141"/>
    </row>
    <row r="395" spans="1:1">
      <c r="A395" s="141"/>
    </row>
    <row r="396" spans="1:1">
      <c r="A396" s="141"/>
    </row>
    <row r="397" spans="1:1">
      <c r="A397" s="141"/>
    </row>
    <row r="398" spans="1:1">
      <c r="A398" s="141"/>
    </row>
    <row r="399" spans="1:1">
      <c r="A399" s="141"/>
    </row>
    <row r="400" spans="1:1">
      <c r="A400" s="141"/>
    </row>
    <row r="401" spans="1:1">
      <c r="A401" s="141"/>
    </row>
    <row r="402" spans="1:1">
      <c r="A402" s="141"/>
    </row>
    <row r="403" spans="1:1">
      <c r="A403" s="141"/>
    </row>
    <row r="404" spans="1:1">
      <c r="A404" s="141"/>
    </row>
    <row r="405" spans="1:1">
      <c r="A405" s="141"/>
    </row>
    <row r="406" spans="1:1">
      <c r="A406" s="141"/>
    </row>
    <row r="407" spans="1:1">
      <c r="A407" s="141"/>
    </row>
    <row r="408" spans="1:1">
      <c r="A408" s="141"/>
    </row>
    <row r="409" spans="1:1">
      <c r="A409" s="141"/>
    </row>
    <row r="410" spans="1:1">
      <c r="A410" s="141"/>
    </row>
    <row r="411" spans="1:1">
      <c r="A411" s="141"/>
    </row>
    <row r="412" spans="1:1">
      <c r="A412" s="141"/>
    </row>
    <row r="413" spans="1:1">
      <c r="A413" s="141"/>
    </row>
    <row r="414" spans="1:1">
      <c r="A414" s="141"/>
    </row>
    <row r="415" spans="1:1">
      <c r="A415" s="141"/>
    </row>
    <row r="416" spans="1:1">
      <c r="A416" s="141"/>
    </row>
    <row r="417" spans="1:1">
      <c r="A417" s="141"/>
    </row>
    <row r="418" spans="1:1">
      <c r="A418" s="141"/>
    </row>
    <row r="419" spans="1:1">
      <c r="A419" s="141"/>
    </row>
    <row r="420" spans="1:1">
      <c r="A420" s="141"/>
    </row>
    <row r="421" spans="1:1">
      <c r="A421" s="141"/>
    </row>
    <row r="422" spans="1:1">
      <c r="A422" s="141"/>
    </row>
    <row r="423" spans="1:1">
      <c r="A423" s="141"/>
    </row>
    <row r="424" spans="1:1">
      <c r="A424" s="141"/>
    </row>
    <row r="425" spans="1:1">
      <c r="A425" s="141"/>
    </row>
    <row r="426" spans="1:1">
      <c r="A426" s="141"/>
    </row>
    <row r="427" spans="1:1">
      <c r="A427" s="141"/>
    </row>
    <row r="428" spans="1:1">
      <c r="A428" s="141"/>
    </row>
    <row r="429" spans="1:1">
      <c r="A429" s="141"/>
    </row>
    <row r="430" spans="1:1">
      <c r="A430" s="141"/>
    </row>
    <row r="431" spans="1:1">
      <c r="A431" s="141"/>
    </row>
    <row r="432" spans="1:1">
      <c r="A432" s="141"/>
    </row>
    <row r="433" spans="1:1">
      <c r="A433" s="141"/>
    </row>
    <row r="434" spans="1:1">
      <c r="A434" s="141"/>
    </row>
    <row r="435" spans="1:1">
      <c r="A435" s="141"/>
    </row>
    <row r="436" spans="1:1">
      <c r="A436" s="141"/>
    </row>
    <row r="437" spans="1:1">
      <c r="A437" s="141"/>
    </row>
    <row r="438" spans="1:1">
      <c r="A438" s="141"/>
    </row>
    <row r="439" spans="1:1">
      <c r="A439" s="141"/>
    </row>
    <row r="440" spans="1:1">
      <c r="A440" s="141"/>
    </row>
    <row r="441" spans="1:1">
      <c r="A441" s="141"/>
    </row>
    <row r="442" spans="1:1">
      <c r="A442" s="141"/>
    </row>
    <row r="443" spans="1:1">
      <c r="A443" s="141"/>
    </row>
    <row r="444" spans="1:1">
      <c r="A444" s="141"/>
    </row>
    <row r="445" spans="1:1">
      <c r="A445" s="141"/>
    </row>
    <row r="446" spans="1:1">
      <c r="A446" s="141"/>
    </row>
    <row r="447" spans="1:1">
      <c r="A447" s="141"/>
    </row>
    <row r="448" spans="1:1">
      <c r="A448" s="141"/>
    </row>
    <row r="449" spans="1:1">
      <c r="A449" s="141"/>
    </row>
    <row r="450" spans="1:1">
      <c r="A450" s="141"/>
    </row>
    <row r="451" spans="1:1">
      <c r="A451" s="141"/>
    </row>
    <row r="452" spans="1:1">
      <c r="A452" s="141"/>
    </row>
    <row r="453" spans="1:1">
      <c r="A453" s="141"/>
    </row>
    <row r="454" spans="1:1">
      <c r="A454" s="141"/>
    </row>
    <row r="455" spans="1:1">
      <c r="A455" s="141"/>
    </row>
    <row r="456" spans="1:1">
      <c r="A456" s="141"/>
    </row>
    <row r="457" spans="1:1">
      <c r="A457" s="141"/>
    </row>
    <row r="458" spans="1:1">
      <c r="A458" s="141"/>
    </row>
    <row r="459" spans="1:1">
      <c r="A459" s="141"/>
    </row>
    <row r="460" spans="1:1">
      <c r="A460" s="141"/>
    </row>
    <row r="461" spans="1:1">
      <c r="A461" s="141"/>
    </row>
    <row r="462" spans="1:1">
      <c r="A462" s="141"/>
    </row>
    <row r="463" spans="1:1">
      <c r="A463" s="141"/>
    </row>
    <row r="464" spans="1:1">
      <c r="A464" s="141"/>
    </row>
    <row r="465" spans="1:1">
      <c r="A465" s="141"/>
    </row>
    <row r="466" spans="1:1">
      <c r="A466" s="141"/>
    </row>
    <row r="467" spans="1:1">
      <c r="A467" s="141"/>
    </row>
    <row r="468" spans="1:1">
      <c r="A468" s="141"/>
    </row>
    <row r="469" spans="1:1">
      <c r="A469" s="141"/>
    </row>
    <row r="470" spans="1:1">
      <c r="A470" s="141"/>
    </row>
    <row r="471" spans="1:1">
      <c r="A471" s="141"/>
    </row>
    <row r="472" spans="1:1">
      <c r="A472" s="141"/>
    </row>
    <row r="473" spans="1:1">
      <c r="A473" s="141"/>
    </row>
    <row r="474" spans="1:1">
      <c r="A474" s="141"/>
    </row>
    <row r="475" spans="1:1">
      <c r="A475" s="141"/>
    </row>
    <row r="476" spans="1:1">
      <c r="A476" s="141"/>
    </row>
    <row r="477" spans="1:1">
      <c r="A477" s="141"/>
    </row>
    <row r="478" spans="1:1">
      <c r="A478" s="141"/>
    </row>
    <row r="479" spans="1:1">
      <c r="A479" s="141"/>
    </row>
    <row r="480" spans="1:1">
      <c r="A480" s="141"/>
    </row>
    <row r="481" spans="1:1">
      <c r="A481" s="141"/>
    </row>
    <row r="482" spans="1:1">
      <c r="A482" s="141"/>
    </row>
    <row r="483" spans="1:1">
      <c r="A483" s="141"/>
    </row>
    <row r="484" spans="1:1">
      <c r="A484" s="141"/>
    </row>
    <row r="485" spans="1:1">
      <c r="A485" s="141"/>
    </row>
    <row r="486" spans="1:1">
      <c r="A486" s="141"/>
    </row>
    <row r="487" spans="1:1">
      <c r="A487" s="141"/>
    </row>
    <row r="488" spans="1:1">
      <c r="A488" s="141"/>
    </row>
    <row r="489" spans="1:1">
      <c r="A489" s="141"/>
    </row>
    <row r="490" spans="1:1">
      <c r="A490" s="141"/>
    </row>
    <row r="491" spans="1:1">
      <c r="A491" s="141"/>
    </row>
    <row r="492" spans="1:1">
      <c r="A492" s="141"/>
    </row>
    <row r="493" spans="1:1">
      <c r="A493" s="141"/>
    </row>
    <row r="494" spans="1:1">
      <c r="A494" s="141"/>
    </row>
    <row r="495" spans="1:1">
      <c r="A495" s="141"/>
    </row>
    <row r="496" spans="1:1">
      <c r="A496" s="141"/>
    </row>
    <row r="497" spans="1:1">
      <c r="A497" s="141"/>
    </row>
    <row r="498" spans="1:1">
      <c r="A498" s="141"/>
    </row>
    <row r="499" spans="1:1">
      <c r="A499" s="141"/>
    </row>
    <row r="500" spans="1:1">
      <c r="A500" s="141"/>
    </row>
    <row r="501" spans="1:1">
      <c r="A501" s="141"/>
    </row>
    <row r="502" spans="1:1">
      <c r="A502" s="141"/>
    </row>
    <row r="503" spans="1:1">
      <c r="A503" s="141"/>
    </row>
    <row r="504" spans="1:1">
      <c r="A504" s="141"/>
    </row>
    <row r="505" spans="1:1">
      <c r="A505" s="141"/>
    </row>
    <row r="506" spans="1:1">
      <c r="A506" s="141"/>
    </row>
    <row r="507" spans="1:1">
      <c r="A507" s="141"/>
    </row>
    <row r="508" spans="1:1">
      <c r="A508" s="141"/>
    </row>
  </sheetData>
  <mergeCells count="37">
    <mergeCell ref="A142:H142"/>
    <mergeCell ref="C184:F184"/>
    <mergeCell ref="G184:H184"/>
    <mergeCell ref="B182:H182"/>
    <mergeCell ref="C183:F183"/>
    <mergeCell ref="G183:H183"/>
    <mergeCell ref="A151:H151"/>
    <mergeCell ref="A31:H31"/>
    <mergeCell ref="A93:H93"/>
    <mergeCell ref="A108:H108"/>
    <mergeCell ref="A121:H121"/>
    <mergeCell ref="A127:H127"/>
    <mergeCell ref="A26:H26"/>
    <mergeCell ref="A28:A29"/>
    <mergeCell ref="B28:B29"/>
    <mergeCell ref="C28:D28"/>
    <mergeCell ref="E28:H28"/>
    <mergeCell ref="B19:E19"/>
    <mergeCell ref="A21:H21"/>
    <mergeCell ref="A22:H22"/>
    <mergeCell ref="A23:H23"/>
    <mergeCell ref="A24:H24"/>
    <mergeCell ref="B15:E15"/>
    <mergeCell ref="F15:G15"/>
    <mergeCell ref="B16:E16"/>
    <mergeCell ref="B17:E17"/>
    <mergeCell ref="B18:E18"/>
    <mergeCell ref="B11:E11"/>
    <mergeCell ref="B12:E12"/>
    <mergeCell ref="B13:E13"/>
    <mergeCell ref="B14:E14"/>
    <mergeCell ref="F14:G14"/>
    <mergeCell ref="F2:H6"/>
    <mergeCell ref="B7:E7"/>
    <mergeCell ref="B8:E8"/>
    <mergeCell ref="B9:E9"/>
    <mergeCell ref="B10:E10"/>
  </mergeCells>
  <pageMargins left="0.59055118110236227" right="0" top="0.39370078740157483" bottom="0.39370078740157483" header="0.31496062992125984" footer="0.31496062992125984"/>
  <pageSetup scale="85" orientation="landscape" horizontalDpi="300" verticalDpi="300" r:id="rId1"/>
  <colBreaks count="1" manualBreakCount="1">
    <brk id="8"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08"/>
  <sheetViews>
    <sheetView topLeftCell="A67" workbookViewId="0">
      <selection activeCell="G46" sqref="G46:I233"/>
    </sheetView>
  </sheetViews>
  <sheetFormatPr defaultRowHeight="15.75" outlineLevelRow="1"/>
  <cols>
    <col min="1" max="1" width="70" style="216" customWidth="1"/>
    <col min="2" max="2" width="8.140625" style="219" customWidth="1"/>
    <col min="3" max="4" width="12.85546875" style="111" customWidth="1"/>
    <col min="5" max="5" width="12.42578125" style="111" customWidth="1"/>
    <col min="6" max="6" width="13" style="321" customWidth="1"/>
    <col min="7" max="16384" width="9.140625" style="216"/>
  </cols>
  <sheetData>
    <row r="1" spans="1:6" ht="18.75" customHeight="1" outlineLevel="1">
      <c r="B1" s="217"/>
      <c r="C1" s="334"/>
      <c r="D1" s="334"/>
      <c r="E1" s="139"/>
      <c r="F1" s="322" t="s">
        <v>0</v>
      </c>
    </row>
    <row r="2" spans="1:6" ht="18.75" customHeight="1" outlineLevel="1">
      <c r="A2" s="218"/>
      <c r="E2" s="139"/>
      <c r="F2" s="440" t="s">
        <v>1</v>
      </c>
    </row>
    <row r="3" spans="1:6" ht="18.75" customHeight="1" outlineLevel="1">
      <c r="A3" s="219"/>
      <c r="E3" s="126"/>
      <c r="F3" s="440"/>
    </row>
    <row r="4" spans="1:6" ht="18.75" customHeight="1" outlineLevel="1">
      <c r="A4" s="219"/>
      <c r="E4" s="126"/>
      <c r="F4" s="440"/>
    </row>
    <row r="5" spans="1:6" ht="18.75" customHeight="1" outlineLevel="1">
      <c r="A5" s="219"/>
      <c r="E5" s="126"/>
      <c r="F5" s="440"/>
    </row>
    <row r="6" spans="1:6" ht="20.25" customHeight="1" outlineLevel="1">
      <c r="F6" s="440"/>
    </row>
    <row r="7" spans="1:6" outlineLevel="1">
      <c r="A7" s="221" t="s">
        <v>2</v>
      </c>
      <c r="B7" s="437">
        <v>2023</v>
      </c>
      <c r="C7" s="437"/>
      <c r="D7" s="437"/>
      <c r="E7" s="437"/>
      <c r="F7" s="353"/>
    </row>
    <row r="8" spans="1:6" outlineLevel="1">
      <c r="A8" s="222" t="s">
        <v>4</v>
      </c>
      <c r="B8" s="441" t="s">
        <v>5</v>
      </c>
      <c r="C8" s="441"/>
      <c r="D8" s="441"/>
      <c r="E8" s="441"/>
      <c r="F8" s="442"/>
    </row>
    <row r="9" spans="1:6" outlineLevel="1">
      <c r="A9" s="223" t="s">
        <v>8</v>
      </c>
      <c r="B9" s="437" t="s">
        <v>9</v>
      </c>
      <c r="C9" s="437"/>
      <c r="D9" s="437"/>
      <c r="E9" s="437"/>
      <c r="F9" s="353"/>
    </row>
    <row r="10" spans="1:6" outlineLevel="1">
      <c r="A10" s="223" t="s">
        <v>11</v>
      </c>
      <c r="B10" s="437"/>
      <c r="C10" s="437"/>
      <c r="D10" s="437"/>
      <c r="E10" s="437"/>
      <c r="F10" s="353"/>
    </row>
    <row r="11" spans="1:6" outlineLevel="1">
      <c r="A11" s="224" t="s">
        <v>253</v>
      </c>
      <c r="B11" s="437" t="s">
        <v>14</v>
      </c>
      <c r="C11" s="437"/>
      <c r="D11" s="437"/>
      <c r="E11" s="437"/>
      <c r="F11" s="354"/>
    </row>
    <row r="12" spans="1:6" outlineLevel="1">
      <c r="A12" s="224" t="s">
        <v>16</v>
      </c>
      <c r="B12" s="437"/>
      <c r="C12" s="437"/>
      <c r="D12" s="437"/>
      <c r="E12" s="437"/>
      <c r="F12" s="354"/>
    </row>
    <row r="13" spans="1:6" outlineLevel="1">
      <c r="A13" s="224" t="s">
        <v>18</v>
      </c>
      <c r="B13" s="437"/>
      <c r="C13" s="437"/>
      <c r="D13" s="437"/>
      <c r="E13" s="437"/>
      <c r="F13" s="354"/>
    </row>
    <row r="14" spans="1:6" ht="23.25" customHeight="1" outlineLevel="1">
      <c r="A14" s="224" t="s">
        <v>20</v>
      </c>
      <c r="B14" s="437"/>
      <c r="C14" s="437"/>
      <c r="D14" s="437"/>
      <c r="E14" s="437"/>
      <c r="F14" s="355" t="s">
        <v>21</v>
      </c>
    </row>
    <row r="15" spans="1:6" ht="47.25" outlineLevel="1">
      <c r="A15" s="224" t="s">
        <v>22</v>
      </c>
      <c r="B15" s="437" t="s">
        <v>23</v>
      </c>
      <c r="C15" s="437"/>
      <c r="D15" s="437"/>
      <c r="E15" s="437"/>
      <c r="F15" s="355" t="s">
        <v>24</v>
      </c>
    </row>
    <row r="16" spans="1:6" outlineLevel="1">
      <c r="A16" s="224" t="s">
        <v>25</v>
      </c>
      <c r="B16" s="439"/>
      <c r="C16" s="437"/>
      <c r="D16" s="437"/>
      <c r="E16" s="437"/>
      <c r="F16" s="356"/>
    </row>
    <row r="17" spans="1:8" outlineLevel="1">
      <c r="A17" s="223" t="s">
        <v>26</v>
      </c>
      <c r="B17" s="437" t="s">
        <v>27</v>
      </c>
      <c r="C17" s="437"/>
      <c r="D17" s="437"/>
      <c r="E17" s="437"/>
      <c r="F17" s="357"/>
    </row>
    <row r="18" spans="1:8" outlineLevel="1">
      <c r="A18" s="224" t="s">
        <v>28</v>
      </c>
      <c r="B18" s="437" t="s">
        <v>29</v>
      </c>
      <c r="C18" s="437"/>
      <c r="D18" s="437"/>
      <c r="E18" s="437"/>
      <c r="F18" s="356"/>
    </row>
    <row r="19" spans="1:8" outlineLevel="1">
      <c r="A19" s="223" t="s">
        <v>30</v>
      </c>
      <c r="B19" s="437" t="s">
        <v>31</v>
      </c>
      <c r="C19" s="437"/>
      <c r="D19" s="437"/>
      <c r="E19" s="437"/>
      <c r="F19" s="357"/>
    </row>
    <row r="20" spans="1:8" outlineLevel="1">
      <c r="A20" s="220"/>
      <c r="B20" s="216"/>
      <c r="C20" s="139"/>
      <c r="D20" s="139"/>
      <c r="E20" s="139"/>
      <c r="F20" s="322"/>
    </row>
    <row r="21" spans="1:8" outlineLevel="1">
      <c r="A21" s="432" t="s">
        <v>32</v>
      </c>
      <c r="B21" s="432"/>
      <c r="C21" s="432"/>
      <c r="D21" s="432"/>
      <c r="E21" s="432"/>
      <c r="F21" s="432"/>
    </row>
    <row r="22" spans="1:8" outlineLevel="1">
      <c r="A22" s="432" t="s">
        <v>33</v>
      </c>
      <c r="B22" s="432"/>
      <c r="C22" s="432"/>
      <c r="D22" s="432"/>
      <c r="E22" s="432"/>
      <c r="F22" s="432"/>
    </row>
    <row r="23" spans="1:8">
      <c r="A23" s="432"/>
      <c r="B23" s="432"/>
      <c r="C23" s="432"/>
      <c r="D23" s="432"/>
      <c r="E23" s="432"/>
      <c r="F23" s="432"/>
    </row>
    <row r="24" spans="1:8">
      <c r="A24" s="438" t="s">
        <v>34</v>
      </c>
      <c r="B24" s="438"/>
      <c r="C24" s="438"/>
      <c r="D24" s="438"/>
      <c r="E24" s="438"/>
      <c r="F24" s="438"/>
    </row>
    <row r="25" spans="1:8">
      <c r="A25" s="225"/>
      <c r="B25" s="225"/>
      <c r="C25" s="335"/>
      <c r="D25" s="335"/>
      <c r="E25" s="335"/>
      <c r="F25" s="323"/>
    </row>
    <row r="26" spans="1:8">
      <c r="A26" s="432" t="s">
        <v>35</v>
      </c>
      <c r="B26" s="432"/>
      <c r="C26" s="432"/>
      <c r="D26" s="432"/>
      <c r="E26" s="432"/>
      <c r="F26" s="432"/>
    </row>
    <row r="27" spans="1:8">
      <c r="B27" s="220"/>
      <c r="C27" s="126"/>
      <c r="D27" s="126"/>
      <c r="E27" s="126"/>
      <c r="F27" s="320"/>
    </row>
    <row r="28" spans="1:8">
      <c r="A28" s="433" t="s">
        <v>36</v>
      </c>
      <c r="B28" s="434" t="s">
        <v>37</v>
      </c>
      <c r="C28" s="435" t="s">
        <v>264</v>
      </c>
      <c r="D28" s="436"/>
      <c r="E28" s="436"/>
      <c r="F28" s="436"/>
    </row>
    <row r="29" spans="1:8">
      <c r="A29" s="433"/>
      <c r="B29" s="434"/>
      <c r="C29" s="187">
        <v>1</v>
      </c>
      <c r="D29" s="187" t="s">
        <v>267</v>
      </c>
      <c r="E29" s="187" t="s">
        <v>272</v>
      </c>
      <c r="F29" s="324">
        <v>4</v>
      </c>
    </row>
    <row r="30" spans="1:8" ht="16.5" thickBot="1">
      <c r="A30" s="226">
        <v>1</v>
      </c>
      <c r="B30" s="227">
        <v>2</v>
      </c>
      <c r="C30" s="186"/>
      <c r="D30" s="186"/>
      <c r="E30" s="115"/>
      <c r="F30" s="358"/>
    </row>
    <row r="31" spans="1:8" s="228" customFormat="1" ht="16.5" thickBot="1">
      <c r="A31" s="430" t="s">
        <v>45</v>
      </c>
      <c r="B31" s="430"/>
      <c r="C31" s="430"/>
      <c r="D31" s="430"/>
      <c r="E31" s="430"/>
      <c r="F31" s="430"/>
    </row>
    <row r="32" spans="1:8" s="228" customFormat="1">
      <c r="A32" s="229" t="s">
        <v>46</v>
      </c>
      <c r="B32" s="226">
        <v>1000</v>
      </c>
      <c r="C32" s="188">
        <f>C33+C36+C37+C40</f>
        <v>5123.1000000000004</v>
      </c>
      <c r="D32" s="188">
        <f>D33+D36+D37+D40</f>
        <v>9828.3000000000011</v>
      </c>
      <c r="E32" s="188">
        <f>E33+E36+E37+E40</f>
        <v>18982.600000000002</v>
      </c>
      <c r="F32" s="325">
        <f>F33+F36+F37+F40</f>
        <v>24513.299999999996</v>
      </c>
      <c r="G32" s="230"/>
      <c r="H32" s="231"/>
    </row>
    <row r="33" spans="1:8" s="228" customFormat="1">
      <c r="A33" s="229" t="s">
        <v>47</v>
      </c>
      <c r="B33" s="226">
        <v>1010</v>
      </c>
      <c r="C33" s="188">
        <f>C34+C35</f>
        <v>4706</v>
      </c>
      <c r="D33" s="188">
        <f>D34+D35</f>
        <v>9113.7000000000007</v>
      </c>
      <c r="E33" s="188">
        <f>E34+E35</f>
        <v>13497.7</v>
      </c>
      <c r="F33" s="325">
        <f>F34+F35</f>
        <v>18552.799999999996</v>
      </c>
      <c r="G33" s="230"/>
      <c r="H33" s="231"/>
    </row>
    <row r="34" spans="1:8" s="228" customFormat="1">
      <c r="A34" s="232" t="s">
        <v>48</v>
      </c>
      <c r="B34" s="226">
        <v>1011</v>
      </c>
      <c r="C34" s="188">
        <v>234.78</v>
      </c>
      <c r="D34" s="188">
        <v>234.78</v>
      </c>
      <c r="E34" s="188">
        <v>234.78</v>
      </c>
      <c r="F34" s="325">
        <v>234.78</v>
      </c>
      <c r="G34" s="231"/>
      <c r="H34" s="231"/>
    </row>
    <row r="35" spans="1:8" s="228" customFormat="1" ht="31.5">
      <c r="A35" s="232" t="s">
        <v>49</v>
      </c>
      <c r="B35" s="226">
        <v>1012</v>
      </c>
      <c r="C35" s="188">
        <v>4471.22</v>
      </c>
      <c r="D35" s="188">
        <v>8878.92</v>
      </c>
      <c r="E35" s="188">
        <v>13262.92</v>
      </c>
      <c r="F35" s="325">
        <v>18318.019999999997</v>
      </c>
      <c r="G35" s="231"/>
      <c r="H35" s="231"/>
    </row>
    <row r="36" spans="1:8" s="228" customFormat="1">
      <c r="A36" s="229" t="s">
        <v>50</v>
      </c>
      <c r="B36" s="226">
        <v>1020</v>
      </c>
      <c r="C36" s="188"/>
      <c r="D36" s="188"/>
      <c r="E36" s="188">
        <v>4600</v>
      </c>
      <c r="F36" s="325">
        <v>4600</v>
      </c>
      <c r="H36" s="231"/>
    </row>
    <row r="37" spans="1:8" s="228" customFormat="1">
      <c r="A37" s="229" t="s">
        <v>51</v>
      </c>
      <c r="B37" s="226">
        <v>1030</v>
      </c>
      <c r="C37" s="188">
        <f>SUM(C38:C39)</f>
        <v>258.10000000000002</v>
      </c>
      <c r="D37" s="188">
        <f>SUM(D38:D39)</f>
        <v>453.70000000000005</v>
      </c>
      <c r="E37" s="188">
        <v>622.70000000000005</v>
      </c>
      <c r="F37" s="325">
        <f>SUM(F38:F39)</f>
        <v>1073.3000000000002</v>
      </c>
      <c r="H37" s="231"/>
    </row>
    <row r="38" spans="1:8" s="228" customFormat="1">
      <c r="A38" s="233" t="s">
        <v>52</v>
      </c>
      <c r="B38" s="226">
        <v>1031</v>
      </c>
      <c r="C38" s="188">
        <v>258.10000000000002</v>
      </c>
      <c r="D38" s="188">
        <v>453.70000000000005</v>
      </c>
      <c r="E38" s="188">
        <v>622.70000000000005</v>
      </c>
      <c r="F38" s="325">
        <v>1073.3000000000002</v>
      </c>
      <c r="H38" s="231"/>
    </row>
    <row r="39" spans="1:8" s="228" customFormat="1">
      <c r="A39" s="233" t="s">
        <v>52</v>
      </c>
      <c r="B39" s="226">
        <v>1032</v>
      </c>
      <c r="C39" s="188"/>
      <c r="D39" s="188"/>
      <c r="E39" s="188">
        <v>0</v>
      </c>
      <c r="F39" s="325"/>
      <c r="H39" s="231"/>
    </row>
    <row r="40" spans="1:8" s="228" customFormat="1">
      <c r="A40" s="229" t="s">
        <v>53</v>
      </c>
      <c r="B40" s="226">
        <v>1040</v>
      </c>
      <c r="C40" s="190">
        <f>C41+C42+C43+C44+C45</f>
        <v>159</v>
      </c>
      <c r="D40" s="190">
        <f>D41+D42+D43+D44+D45</f>
        <v>260.89999999999998</v>
      </c>
      <c r="E40" s="190">
        <f>E41+E42+E43+E44+E45</f>
        <v>262.2</v>
      </c>
      <c r="F40" s="326">
        <f>F41+F42+F43+F44+F45</f>
        <v>287.2</v>
      </c>
      <c r="G40" s="234"/>
      <c r="H40" s="231"/>
    </row>
    <row r="41" spans="1:8" s="228" customFormat="1">
      <c r="A41" s="232" t="s">
        <v>54</v>
      </c>
      <c r="B41" s="226">
        <v>1041</v>
      </c>
      <c r="C41" s="188"/>
      <c r="D41" s="188"/>
      <c r="E41" s="189"/>
      <c r="F41" s="325"/>
      <c r="G41" s="231"/>
      <c r="H41" s="231"/>
    </row>
    <row r="42" spans="1:8" s="228" customFormat="1">
      <c r="A42" s="232" t="s">
        <v>55</v>
      </c>
      <c r="B42" s="226">
        <v>1042</v>
      </c>
      <c r="C42" s="188"/>
      <c r="D42" s="188"/>
      <c r="E42" s="189"/>
      <c r="F42" s="325"/>
      <c r="G42" s="231"/>
      <c r="H42" s="231"/>
    </row>
    <row r="43" spans="1:8" s="228" customFormat="1">
      <c r="A43" s="236" t="s">
        <v>56</v>
      </c>
      <c r="B43" s="226">
        <v>1043</v>
      </c>
      <c r="C43" s="188"/>
      <c r="D43" s="188"/>
      <c r="E43" s="189">
        <f>'[32]3 кв'!F43</f>
        <v>0</v>
      </c>
      <c r="F43" s="325"/>
      <c r="G43" s="231"/>
      <c r="H43" s="231"/>
    </row>
    <row r="44" spans="1:8" s="228" customFormat="1">
      <c r="A44" s="236" t="s">
        <v>57</v>
      </c>
      <c r="B44" s="226">
        <v>1044</v>
      </c>
      <c r="C44" s="188">
        <v>159</v>
      </c>
      <c r="D44" s="188">
        <v>260.89999999999998</v>
      </c>
      <c r="E44" s="189">
        <v>262.2</v>
      </c>
      <c r="F44" s="325">
        <v>287.2</v>
      </c>
      <c r="G44" s="231"/>
      <c r="H44" s="231"/>
    </row>
    <row r="45" spans="1:8" s="228" customFormat="1">
      <c r="A45" s="237" t="s">
        <v>254</v>
      </c>
      <c r="B45" s="226">
        <v>1045</v>
      </c>
      <c r="C45" s="188">
        <f>C46+C47</f>
        <v>0</v>
      </c>
      <c r="D45" s="188">
        <f>D46+D47</f>
        <v>0</v>
      </c>
      <c r="E45" s="188">
        <f>E46+E47</f>
        <v>0</v>
      </c>
      <c r="F45" s="325"/>
      <c r="G45" s="230"/>
      <c r="H45" s="231"/>
    </row>
    <row r="46" spans="1:8" s="228" customFormat="1">
      <c r="A46" s="237" t="s">
        <v>59</v>
      </c>
      <c r="B46" s="226" t="s">
        <v>60</v>
      </c>
      <c r="C46" s="188"/>
      <c r="D46" s="188"/>
      <c r="E46" s="189"/>
      <c r="F46" s="325"/>
      <c r="G46" s="231"/>
      <c r="H46" s="231"/>
    </row>
    <row r="47" spans="1:8" s="228" customFormat="1">
      <c r="A47" s="237"/>
      <c r="B47" s="226"/>
      <c r="C47" s="188"/>
      <c r="D47" s="188"/>
      <c r="E47" s="188"/>
      <c r="F47" s="325"/>
      <c r="H47" s="231"/>
    </row>
    <row r="48" spans="1:8" s="228" customFormat="1">
      <c r="A48" s="238" t="s">
        <v>62</v>
      </c>
      <c r="B48" s="226">
        <v>2000</v>
      </c>
      <c r="C48" s="208">
        <f>C49+C74</f>
        <v>5606.3779999999997</v>
      </c>
      <c r="D48" s="208">
        <f>D49+D74</f>
        <v>11351.238000000001</v>
      </c>
      <c r="E48" s="346">
        <f>E49+E74</f>
        <v>16557.520543400002</v>
      </c>
      <c r="F48" s="327">
        <f>F49+F74</f>
        <v>22185.9605434</v>
      </c>
      <c r="G48" s="239"/>
      <c r="H48" s="231"/>
    </row>
    <row r="49" spans="1:8" s="228" customFormat="1">
      <c r="A49" s="240" t="s">
        <v>63</v>
      </c>
      <c r="B49" s="219">
        <v>2010</v>
      </c>
      <c r="C49" s="207">
        <f>C50+C51+C52+C66+C67+C68+C72+C73</f>
        <v>5606.3779999999997</v>
      </c>
      <c r="D49" s="207">
        <f>D50+D51+D52+D66+D67+D68+D72+D73</f>
        <v>11351.238000000001</v>
      </c>
      <c r="E49" s="207">
        <f>E50+E51+E52+E66+E67+E68+E72+E73</f>
        <v>16557.520543400002</v>
      </c>
      <c r="F49" s="328">
        <f>F50+F51+F52+F66+F67+F68+F72+F73</f>
        <v>22185.9605434</v>
      </c>
      <c r="G49" s="241"/>
      <c r="H49" s="231"/>
    </row>
    <row r="50" spans="1:8" s="228" customFormat="1">
      <c r="A50" s="242" t="s">
        <v>64</v>
      </c>
      <c r="B50" s="226">
        <v>2010</v>
      </c>
      <c r="C50" s="188">
        <v>3853.4</v>
      </c>
      <c r="D50" s="188">
        <v>7914.8</v>
      </c>
      <c r="E50" s="189">
        <v>11508.588970000001</v>
      </c>
      <c r="F50" s="325">
        <v>15185.588970000001</v>
      </c>
      <c r="G50" s="231"/>
      <c r="H50" s="231"/>
    </row>
    <row r="51" spans="1:8" s="228" customFormat="1">
      <c r="A51" s="242" t="s">
        <v>65</v>
      </c>
      <c r="B51" s="226">
        <v>2011</v>
      </c>
      <c r="C51" s="188">
        <v>874.94799999999987</v>
      </c>
      <c r="D51" s="188">
        <v>1814.2079999999996</v>
      </c>
      <c r="E51" s="189">
        <v>2636.5015733999985</v>
      </c>
      <c r="F51" s="325">
        <v>3491.4415733999981</v>
      </c>
      <c r="G51" s="231"/>
      <c r="H51" s="231"/>
    </row>
    <row r="52" spans="1:8" s="228" customFormat="1">
      <c r="A52" s="243" t="s">
        <v>66</v>
      </c>
      <c r="B52" s="226">
        <v>2020</v>
      </c>
      <c r="C52" s="189">
        <f>C53+C54+C55+C56+C57+C58+C59</f>
        <v>692.53</v>
      </c>
      <c r="D52" s="189">
        <f>D53+D54+D55+D56+D57+D58+D59</f>
        <v>1328.03</v>
      </c>
      <c r="E52" s="189">
        <f>E53+E54+E55+E56+E57+E58+E59</f>
        <v>2005.4299999999998</v>
      </c>
      <c r="F52" s="329">
        <f>F53+F54+F55+F56+F57+F58+F59</f>
        <v>2957.9300000000003</v>
      </c>
      <c r="G52" s="235"/>
      <c r="H52" s="231"/>
    </row>
    <row r="53" spans="1:8" s="228" customFormat="1">
      <c r="A53" s="242" t="s">
        <v>67</v>
      </c>
      <c r="B53" s="226">
        <v>2021</v>
      </c>
      <c r="C53" s="188">
        <v>40.9</v>
      </c>
      <c r="D53" s="188">
        <v>72.3</v>
      </c>
      <c r="E53" s="189">
        <v>137.30000000000001</v>
      </c>
      <c r="F53" s="364">
        <v>202.5</v>
      </c>
      <c r="G53" s="231"/>
      <c r="H53" s="231"/>
    </row>
    <row r="54" spans="1:8" s="228" customFormat="1">
      <c r="A54" s="242" t="s">
        <v>68</v>
      </c>
      <c r="B54" s="226">
        <v>2022</v>
      </c>
      <c r="C54" s="188">
        <v>328.9</v>
      </c>
      <c r="D54" s="188">
        <v>691.7</v>
      </c>
      <c r="E54" s="189">
        <v>1071.2</v>
      </c>
      <c r="F54" s="364">
        <v>1470.1000000000001</v>
      </c>
      <c r="G54" s="231"/>
      <c r="H54" s="231"/>
    </row>
    <row r="55" spans="1:8" s="228" customFormat="1">
      <c r="A55" s="242" t="s">
        <v>69</v>
      </c>
      <c r="B55" s="226">
        <v>2023</v>
      </c>
      <c r="C55" s="188"/>
      <c r="D55" s="188">
        <v>0</v>
      </c>
      <c r="E55" s="189">
        <v>0</v>
      </c>
      <c r="F55" s="364">
        <v>0</v>
      </c>
      <c r="G55" s="231"/>
      <c r="H55" s="231"/>
    </row>
    <row r="56" spans="1:8" s="228" customFormat="1">
      <c r="A56" s="242" t="s">
        <v>70</v>
      </c>
      <c r="B56" s="226">
        <v>2024</v>
      </c>
      <c r="C56" s="188">
        <v>89.7</v>
      </c>
      <c r="D56" s="188">
        <v>179.60000000000002</v>
      </c>
      <c r="E56" s="189">
        <v>286.5</v>
      </c>
      <c r="F56" s="364">
        <v>375.30000000000007</v>
      </c>
      <c r="G56" s="231"/>
      <c r="H56" s="231"/>
    </row>
    <row r="57" spans="1:8" s="228" customFormat="1">
      <c r="A57" s="242" t="s">
        <v>71</v>
      </c>
      <c r="B57" s="226">
        <v>2025</v>
      </c>
      <c r="C57" s="188">
        <f>'[32]1 кв'!F57</f>
        <v>0.1</v>
      </c>
      <c r="D57" s="188">
        <f>'[32]2 кв'!F57</f>
        <v>0</v>
      </c>
      <c r="E57" s="189">
        <v>0</v>
      </c>
      <c r="F57" s="325">
        <v>0</v>
      </c>
      <c r="G57" s="231"/>
      <c r="H57" s="231"/>
    </row>
    <row r="58" spans="1:8" s="228" customFormat="1">
      <c r="A58" s="242" t="s">
        <v>72</v>
      </c>
      <c r="B58" s="226">
        <v>2026</v>
      </c>
      <c r="C58" s="188">
        <f>'[32]1 кв'!F58</f>
        <v>0</v>
      </c>
      <c r="D58" s="188">
        <f>'[32]2 кв'!F58</f>
        <v>0</v>
      </c>
      <c r="E58" s="189">
        <v>0</v>
      </c>
      <c r="F58" s="325">
        <v>0</v>
      </c>
      <c r="G58" s="231"/>
      <c r="H58" s="231"/>
    </row>
    <row r="59" spans="1:8" s="228" customFormat="1">
      <c r="A59" s="242" t="s">
        <v>73</v>
      </c>
      <c r="B59" s="226">
        <v>2027</v>
      </c>
      <c r="C59" s="188">
        <v>232.93</v>
      </c>
      <c r="D59" s="188">
        <f>SUM(D60:D64)</f>
        <v>384.42999999999995</v>
      </c>
      <c r="E59" s="189">
        <v>510.42999999999995</v>
      </c>
      <c r="F59" s="339">
        <f>F60+F61+F62+F63+F64+F65</f>
        <v>910.03</v>
      </c>
      <c r="G59" s="231"/>
      <c r="H59" s="231"/>
    </row>
    <row r="60" spans="1:8" s="228" customFormat="1">
      <c r="A60" s="242" t="s">
        <v>74</v>
      </c>
      <c r="B60" s="226">
        <v>2028</v>
      </c>
      <c r="C60" s="188">
        <v>130.9</v>
      </c>
      <c r="D60" s="188">
        <v>174.2</v>
      </c>
      <c r="E60" s="189">
        <v>174.2</v>
      </c>
      <c r="F60" s="329">
        <v>384.29999999999995</v>
      </c>
      <c r="G60" s="231"/>
      <c r="H60" s="231"/>
    </row>
    <row r="61" spans="1:8" s="228" customFormat="1">
      <c r="A61" s="242" t="s">
        <v>75</v>
      </c>
      <c r="B61" s="226">
        <v>2029</v>
      </c>
      <c r="C61" s="188">
        <v>6.53</v>
      </c>
      <c r="D61" s="188">
        <v>19.63</v>
      </c>
      <c r="E61" s="189">
        <v>28.63</v>
      </c>
      <c r="F61" s="329">
        <v>53.93</v>
      </c>
      <c r="G61" s="231"/>
      <c r="H61" s="231"/>
    </row>
    <row r="62" spans="1:8" s="228" customFormat="1">
      <c r="A62" s="242" t="s">
        <v>76</v>
      </c>
      <c r="B62" s="226">
        <v>2030</v>
      </c>
      <c r="C62" s="188">
        <v>95.5</v>
      </c>
      <c r="D62" s="188">
        <v>187.2</v>
      </c>
      <c r="E62" s="189">
        <v>301.2</v>
      </c>
      <c r="F62" s="329">
        <v>460.6</v>
      </c>
      <c r="G62" s="231"/>
      <c r="H62" s="231"/>
    </row>
    <row r="63" spans="1:8" s="228" customFormat="1">
      <c r="A63" s="242" t="s">
        <v>77</v>
      </c>
      <c r="B63" s="226">
        <v>2031</v>
      </c>
      <c r="C63" s="188">
        <f>'[32]1 кв'!F63</f>
        <v>0</v>
      </c>
      <c r="D63" s="188">
        <v>0</v>
      </c>
      <c r="E63" s="189">
        <v>0</v>
      </c>
      <c r="F63" s="329">
        <v>0</v>
      </c>
      <c r="G63" s="231"/>
      <c r="H63" s="231"/>
    </row>
    <row r="64" spans="1:8" s="228" customFormat="1">
      <c r="A64" s="242" t="s">
        <v>78</v>
      </c>
      <c r="B64" s="226">
        <v>2032</v>
      </c>
      <c r="C64" s="188"/>
      <c r="D64" s="188">
        <v>3.4</v>
      </c>
      <c r="E64" s="189">
        <v>6.4</v>
      </c>
      <c r="F64" s="329">
        <v>11.2</v>
      </c>
      <c r="G64" s="231"/>
      <c r="H64" s="231"/>
    </row>
    <row r="65" spans="1:8" s="228" customFormat="1">
      <c r="A65" s="242" t="s">
        <v>79</v>
      </c>
      <c r="B65" s="226">
        <v>2033</v>
      </c>
      <c r="C65" s="188">
        <f>'[32]1 кв'!F65</f>
        <v>0</v>
      </c>
      <c r="D65" s="188">
        <f>'[32]2 кв'!F65</f>
        <v>0</v>
      </c>
      <c r="E65" s="189">
        <v>0</v>
      </c>
      <c r="F65" s="329"/>
      <c r="G65" s="231"/>
      <c r="H65" s="231"/>
    </row>
    <row r="66" spans="1:8" s="228" customFormat="1" ht="15.75" customHeight="1">
      <c r="A66" s="242" t="s">
        <v>80</v>
      </c>
      <c r="B66" s="226">
        <v>2030</v>
      </c>
      <c r="C66" s="188">
        <f>'[32]1 кв'!F66</f>
        <v>0</v>
      </c>
      <c r="D66" s="188">
        <f>'[32]2 кв'!F66</f>
        <v>0</v>
      </c>
      <c r="E66" s="189">
        <v>0</v>
      </c>
      <c r="F66" s="329"/>
      <c r="G66" s="231"/>
      <c r="H66" s="231"/>
    </row>
    <row r="67" spans="1:8" s="228" customFormat="1">
      <c r="A67" s="242" t="s">
        <v>81</v>
      </c>
      <c r="B67" s="226">
        <v>2040</v>
      </c>
      <c r="C67" s="188">
        <f>'[32]1 кв'!F67</f>
        <v>0</v>
      </c>
      <c r="D67" s="188">
        <f>'[32]2 кв'!F67</f>
        <v>0</v>
      </c>
      <c r="E67" s="189">
        <v>0</v>
      </c>
      <c r="F67" s="329"/>
      <c r="G67" s="231"/>
      <c r="H67" s="231"/>
    </row>
    <row r="68" spans="1:8" s="228" customFormat="1">
      <c r="A68" s="242" t="s">
        <v>82</v>
      </c>
      <c r="B68" s="226">
        <v>2050</v>
      </c>
      <c r="C68" s="188">
        <f>C69</f>
        <v>26.5</v>
      </c>
      <c r="D68" s="188">
        <f>D69</f>
        <v>52.7</v>
      </c>
      <c r="E68" s="189">
        <v>79.7</v>
      </c>
      <c r="F68" s="329">
        <f>F69+F70+F71</f>
        <v>143.1</v>
      </c>
      <c r="G68" s="231"/>
      <c r="H68" s="231"/>
    </row>
    <row r="69" spans="1:8" s="228" customFormat="1">
      <c r="A69" s="242" t="s">
        <v>83</v>
      </c>
      <c r="B69" s="226">
        <v>2051</v>
      </c>
      <c r="C69" s="188">
        <v>26.5</v>
      </c>
      <c r="D69" s="188">
        <v>52.7</v>
      </c>
      <c r="E69" s="189">
        <v>79.7</v>
      </c>
      <c r="F69" s="329">
        <v>143.1</v>
      </c>
      <c r="G69" s="231"/>
      <c r="H69" s="231"/>
    </row>
    <row r="70" spans="1:8" s="228" customFormat="1">
      <c r="A70" s="242" t="s">
        <v>84</v>
      </c>
      <c r="B70" s="226">
        <v>2052</v>
      </c>
      <c r="C70" s="188"/>
      <c r="D70" s="188">
        <v>0</v>
      </c>
      <c r="E70" s="189">
        <v>0</v>
      </c>
      <c r="F70" s="329">
        <v>0</v>
      </c>
      <c r="G70" s="231"/>
      <c r="H70" s="231"/>
    </row>
    <row r="71" spans="1:8" s="228" customFormat="1">
      <c r="A71" s="242" t="s">
        <v>255</v>
      </c>
      <c r="B71" s="226">
        <v>2053</v>
      </c>
      <c r="C71" s="188"/>
      <c r="D71" s="188">
        <v>0</v>
      </c>
      <c r="E71" s="189">
        <v>0</v>
      </c>
      <c r="F71" s="329">
        <v>0</v>
      </c>
      <c r="G71" s="231"/>
      <c r="H71" s="231"/>
    </row>
    <row r="72" spans="1:8" s="228" customFormat="1">
      <c r="A72" s="242" t="s">
        <v>86</v>
      </c>
      <c r="B72" s="226">
        <v>2060</v>
      </c>
      <c r="C72" s="188">
        <v>159</v>
      </c>
      <c r="D72" s="188">
        <v>241.5</v>
      </c>
      <c r="E72" s="189">
        <v>327.3</v>
      </c>
      <c r="F72" s="329">
        <v>407.9</v>
      </c>
      <c r="G72" s="231"/>
      <c r="H72" s="231"/>
    </row>
    <row r="73" spans="1:8" s="228" customFormat="1">
      <c r="A73" s="242" t="s">
        <v>256</v>
      </c>
      <c r="B73" s="226">
        <v>2070</v>
      </c>
      <c r="C73" s="188">
        <f>'[32]1 кв'!F73</f>
        <v>0</v>
      </c>
      <c r="D73" s="188">
        <f>'[32]2 кв'!F73</f>
        <v>0</v>
      </c>
      <c r="E73" s="189">
        <v>0</v>
      </c>
      <c r="F73" s="329"/>
      <c r="G73" s="231"/>
      <c r="H73" s="231"/>
    </row>
    <row r="74" spans="1:8" s="228" customFormat="1">
      <c r="A74" s="240" t="s">
        <v>88</v>
      </c>
      <c r="B74" s="226">
        <v>2100</v>
      </c>
      <c r="C74" s="190"/>
      <c r="D74" s="190"/>
      <c r="E74" s="190">
        <f>E75+E76+E79+E82+E86+E87</f>
        <v>0</v>
      </c>
      <c r="F74" s="326">
        <f>F75+F76+F79+F82+F86+F87</f>
        <v>0</v>
      </c>
      <c r="G74" s="231"/>
      <c r="H74" s="231"/>
    </row>
    <row r="75" spans="1:8" s="228" customFormat="1">
      <c r="A75" s="242" t="s">
        <v>89</v>
      </c>
      <c r="B75" s="226">
        <v>2110</v>
      </c>
      <c r="C75" s="197"/>
      <c r="D75" s="197"/>
      <c r="E75" s="189"/>
      <c r="F75" s="326"/>
      <c r="G75" s="231"/>
      <c r="H75" s="231"/>
    </row>
    <row r="76" spans="1:8" s="228" customFormat="1">
      <c r="A76" s="242" t="s">
        <v>90</v>
      </c>
      <c r="B76" s="226">
        <v>2120</v>
      </c>
      <c r="C76" s="310"/>
      <c r="D76" s="310"/>
      <c r="E76" s="189">
        <f>[32]план!J81</f>
        <v>0</v>
      </c>
      <c r="F76" s="359">
        <f>F77+F78</f>
        <v>0</v>
      </c>
      <c r="G76" s="231"/>
      <c r="H76" s="231"/>
    </row>
    <row r="77" spans="1:8" s="228" customFormat="1">
      <c r="A77" s="242" t="s">
        <v>91</v>
      </c>
      <c r="B77" s="226">
        <v>2121</v>
      </c>
      <c r="C77" s="189"/>
      <c r="D77" s="189"/>
      <c r="E77" s="189">
        <f>[32]план!J82</f>
        <v>0</v>
      </c>
      <c r="F77" s="329"/>
      <c r="G77" s="231"/>
      <c r="H77" s="231"/>
    </row>
    <row r="78" spans="1:8" s="228" customFormat="1">
      <c r="A78" s="242" t="s">
        <v>92</v>
      </c>
      <c r="B78" s="226">
        <v>2122</v>
      </c>
      <c r="C78" s="189"/>
      <c r="D78" s="189"/>
      <c r="E78" s="189">
        <f>[32]план!J83</f>
        <v>0</v>
      </c>
      <c r="F78" s="329"/>
      <c r="G78" s="231"/>
      <c r="H78" s="231"/>
    </row>
    <row r="79" spans="1:8" s="228" customFormat="1">
      <c r="A79" s="242" t="s">
        <v>93</v>
      </c>
      <c r="B79" s="226">
        <v>2130</v>
      </c>
      <c r="C79" s="189"/>
      <c r="D79" s="189"/>
      <c r="E79" s="189">
        <f>[32]план!J84</f>
        <v>0</v>
      </c>
      <c r="F79" s="329">
        <f>F80+F81</f>
        <v>0</v>
      </c>
      <c r="G79" s="231"/>
      <c r="H79" s="231"/>
    </row>
    <row r="80" spans="1:8" s="228" customFormat="1">
      <c r="A80" s="242" t="s">
        <v>94</v>
      </c>
      <c r="B80" s="226">
        <v>2131</v>
      </c>
      <c r="C80" s="189"/>
      <c r="D80" s="189"/>
      <c r="E80" s="189">
        <f>[32]план!J85</f>
        <v>0</v>
      </c>
      <c r="F80" s="329"/>
      <c r="G80" s="231"/>
      <c r="H80" s="231"/>
    </row>
    <row r="81" spans="1:8" s="228" customFormat="1">
      <c r="A81" s="242" t="s">
        <v>95</v>
      </c>
      <c r="B81" s="226">
        <v>2132</v>
      </c>
      <c r="C81" s="189"/>
      <c r="D81" s="189"/>
      <c r="E81" s="189">
        <f>[32]план!J86</f>
        <v>0</v>
      </c>
      <c r="F81" s="329"/>
      <c r="G81" s="231"/>
      <c r="H81" s="231"/>
    </row>
    <row r="82" spans="1:8" s="228" customFormat="1">
      <c r="A82" s="242" t="s">
        <v>96</v>
      </c>
      <c r="B82" s="226">
        <v>2140</v>
      </c>
      <c r="C82" s="189"/>
      <c r="D82" s="189"/>
      <c r="E82" s="189">
        <f>[32]план!J87</f>
        <v>0</v>
      </c>
      <c r="F82" s="329">
        <f>F83+F84+F85</f>
        <v>0</v>
      </c>
      <c r="G82" s="231"/>
      <c r="H82" s="231"/>
    </row>
    <row r="83" spans="1:8" s="228" customFormat="1">
      <c r="A83" s="242" t="s">
        <v>97</v>
      </c>
      <c r="B83" s="226">
        <v>2141</v>
      </c>
      <c r="C83" s="189"/>
      <c r="D83" s="189"/>
      <c r="E83" s="189">
        <f>[32]план!J88</f>
        <v>0</v>
      </c>
      <c r="F83" s="329"/>
      <c r="G83" s="231"/>
      <c r="H83" s="231"/>
    </row>
    <row r="84" spans="1:8" s="228" customFormat="1">
      <c r="A84" s="242" t="s">
        <v>98</v>
      </c>
      <c r="B84" s="226">
        <v>2142</v>
      </c>
      <c r="C84" s="189"/>
      <c r="D84" s="189"/>
      <c r="E84" s="189">
        <f>[32]план!J89</f>
        <v>0</v>
      </c>
      <c r="F84" s="329"/>
      <c r="G84" s="231"/>
      <c r="H84" s="231"/>
    </row>
    <row r="85" spans="1:8" s="228" customFormat="1">
      <c r="A85" s="242" t="s">
        <v>99</v>
      </c>
      <c r="B85" s="226">
        <v>2143</v>
      </c>
      <c r="C85" s="197"/>
      <c r="D85" s="197"/>
      <c r="E85" s="189">
        <f>[32]план!J90</f>
        <v>0</v>
      </c>
      <c r="F85" s="326"/>
      <c r="G85" s="231"/>
      <c r="H85" s="231"/>
    </row>
    <row r="86" spans="1:8" s="228" customFormat="1">
      <c r="A86" s="242" t="s">
        <v>100</v>
      </c>
      <c r="B86" s="226">
        <v>2150</v>
      </c>
      <c r="C86" s="189"/>
      <c r="D86" s="189"/>
      <c r="E86" s="189">
        <f>[32]план!J91</f>
        <v>0</v>
      </c>
      <c r="F86" s="329"/>
      <c r="G86" s="231"/>
      <c r="H86" s="231"/>
    </row>
    <row r="87" spans="1:8" s="228" customFormat="1">
      <c r="A87" s="242" t="s">
        <v>101</v>
      </c>
      <c r="B87" s="226">
        <v>2160</v>
      </c>
      <c r="C87" s="189"/>
      <c r="D87" s="189"/>
      <c r="E87" s="189">
        <f>[32]план!J92</f>
        <v>0</v>
      </c>
      <c r="F87" s="329"/>
      <c r="G87" s="231"/>
      <c r="H87" s="231"/>
    </row>
    <row r="88" spans="1:8" s="228" customFormat="1">
      <c r="A88" s="242" t="s">
        <v>102</v>
      </c>
      <c r="B88" s="226">
        <v>2170</v>
      </c>
      <c r="C88" s="189"/>
      <c r="D88" s="189"/>
      <c r="E88" s="189">
        <f>[32]план!J93</f>
        <v>0</v>
      </c>
      <c r="F88" s="329"/>
      <c r="G88" s="231"/>
      <c r="H88" s="231"/>
    </row>
    <row r="89" spans="1:8" s="228" customFormat="1">
      <c r="A89" s="242"/>
      <c r="B89" s="226">
        <v>2171</v>
      </c>
      <c r="C89" s="189"/>
      <c r="D89" s="189"/>
      <c r="E89" s="189"/>
      <c r="F89" s="329"/>
      <c r="G89" s="231"/>
      <c r="H89" s="231"/>
    </row>
    <row r="90" spans="1:8" s="228" customFormat="1">
      <c r="A90" s="229" t="s">
        <v>103</v>
      </c>
      <c r="B90" s="226">
        <v>4000</v>
      </c>
      <c r="C90" s="195">
        <f>C33+C36+C37+C40</f>
        <v>5123.1000000000004</v>
      </c>
      <c r="D90" s="195">
        <f>D33+D36+D37+D40</f>
        <v>9828.3000000000011</v>
      </c>
      <c r="E90" s="195">
        <f>E33+E36+E37+E40</f>
        <v>18982.600000000002</v>
      </c>
      <c r="F90" s="331">
        <f>F33+F36+F37+F40</f>
        <v>24513.299999999996</v>
      </c>
      <c r="G90" s="231"/>
      <c r="H90" s="231"/>
    </row>
    <row r="91" spans="1:8" s="228" customFormat="1">
      <c r="A91" s="229" t="s">
        <v>104</v>
      </c>
      <c r="B91" s="226">
        <v>5000</v>
      </c>
      <c r="C91" s="188">
        <f>C49+C74</f>
        <v>5606.3779999999997</v>
      </c>
      <c r="D91" s="188">
        <f>D49+D74</f>
        <v>11351.238000000001</v>
      </c>
      <c r="E91" s="188">
        <f>E49+E74</f>
        <v>16557.520543400002</v>
      </c>
      <c r="F91" s="325">
        <f>F49+F74</f>
        <v>22185.9605434</v>
      </c>
      <c r="G91" s="231"/>
      <c r="H91" s="231"/>
    </row>
    <row r="92" spans="1:8" s="228" customFormat="1" ht="16.5" thickBot="1">
      <c r="A92" s="244" t="s">
        <v>105</v>
      </c>
      <c r="B92" s="226">
        <v>6000</v>
      </c>
      <c r="C92" s="188">
        <f>C90-C91</f>
        <v>-483.27799999999934</v>
      </c>
      <c r="D92" s="188">
        <f>D90-D91</f>
        <v>-1522.9380000000001</v>
      </c>
      <c r="E92" s="188">
        <f>E90-E91</f>
        <v>2425.0794566000004</v>
      </c>
      <c r="F92" s="325">
        <f>F90-F91</f>
        <v>2327.3394565999952</v>
      </c>
      <c r="G92" s="231"/>
      <c r="H92" s="231"/>
    </row>
    <row r="93" spans="1:8" s="228" customFormat="1" ht="16.5" thickBot="1">
      <c r="A93" s="430" t="s">
        <v>106</v>
      </c>
      <c r="B93" s="430"/>
      <c r="C93" s="430"/>
      <c r="D93" s="430"/>
      <c r="E93" s="430"/>
      <c r="F93" s="430"/>
      <c r="G93" s="231"/>
      <c r="H93" s="231"/>
    </row>
    <row r="94" spans="1:8" s="228" customFormat="1" ht="31.5">
      <c r="A94" s="245" t="s">
        <v>107</v>
      </c>
      <c r="B94" s="226">
        <v>7100</v>
      </c>
      <c r="C94" s="190">
        <f>C95+C96+C97+C98</f>
        <v>6.3</v>
      </c>
      <c r="D94" s="190">
        <f>D95+D96+D97+D98</f>
        <v>16.5</v>
      </c>
      <c r="E94" s="190">
        <f>E95+E96+E97+E98</f>
        <v>19.2</v>
      </c>
      <c r="F94" s="326">
        <f>F95+F96+F97+F98</f>
        <v>22.9</v>
      </c>
      <c r="G94" s="231"/>
      <c r="H94" s="231"/>
    </row>
    <row r="95" spans="1:8" s="228" customFormat="1" ht="31.5">
      <c r="A95" s="246" t="s">
        <v>108</v>
      </c>
      <c r="B95" s="226">
        <v>7110</v>
      </c>
      <c r="C95" s="188">
        <v>6.3</v>
      </c>
      <c r="D95" s="188">
        <v>16.5</v>
      </c>
      <c r="E95" s="196">
        <v>19.2</v>
      </c>
      <c r="F95" s="332">
        <v>22.9</v>
      </c>
      <c r="G95" s="231"/>
      <c r="H95" s="231"/>
    </row>
    <row r="96" spans="1:8" s="228" customFormat="1" ht="31.5">
      <c r="A96" s="247" t="s">
        <v>109</v>
      </c>
      <c r="B96" s="227">
        <v>7120</v>
      </c>
      <c r="C96" s="188">
        <f>'[32]1 кв'!F96</f>
        <v>0</v>
      </c>
      <c r="D96" s="188">
        <f>'[32]2 кв'!F96</f>
        <v>0</v>
      </c>
      <c r="E96" s="196">
        <f>'[32]3 кв'!F96</f>
        <v>0</v>
      </c>
      <c r="F96" s="332"/>
      <c r="G96" s="231"/>
      <c r="H96" s="231"/>
    </row>
    <row r="97" spans="1:8" s="228" customFormat="1">
      <c r="A97" s="248" t="s">
        <v>110</v>
      </c>
      <c r="B97" s="227">
        <v>7130</v>
      </c>
      <c r="C97" s="188">
        <f>'[32]1 кв'!F97</f>
        <v>0</v>
      </c>
      <c r="D97" s="188">
        <f>'[32]2 кв'!F97</f>
        <v>0</v>
      </c>
      <c r="E97" s="196">
        <f>'[32]3 кв'!F97</f>
        <v>0</v>
      </c>
      <c r="F97" s="332"/>
      <c r="G97" s="231"/>
      <c r="H97" s="231"/>
    </row>
    <row r="98" spans="1:8" s="228" customFormat="1">
      <c r="A98" s="248" t="s">
        <v>111</v>
      </c>
      <c r="B98" s="227">
        <v>7140</v>
      </c>
      <c r="C98" s="188">
        <f>'[32]1 кв'!F98</f>
        <v>0</v>
      </c>
      <c r="D98" s="188">
        <f>'[32]2 кв'!F98</f>
        <v>0</v>
      </c>
      <c r="E98" s="196">
        <f>'[32]3 кв'!F98</f>
        <v>0</v>
      </c>
      <c r="F98" s="332"/>
      <c r="G98" s="231"/>
      <c r="H98" s="231"/>
    </row>
    <row r="99" spans="1:8" s="228" customFormat="1" ht="31.5">
      <c r="A99" s="249" t="s">
        <v>112</v>
      </c>
      <c r="B99" s="227">
        <v>7200</v>
      </c>
      <c r="C99" s="188">
        <f>C100+C101</f>
        <v>699</v>
      </c>
      <c r="D99" s="188">
        <f>D100+D101</f>
        <v>1427.9</v>
      </c>
      <c r="E99" s="188">
        <f>E100+E101</f>
        <v>2094.9</v>
      </c>
      <c r="F99" s="326">
        <f>F100+F101</f>
        <v>2766.6000000000004</v>
      </c>
      <c r="G99" s="231"/>
      <c r="H99" s="231"/>
    </row>
    <row r="100" spans="1:8" s="228" customFormat="1">
      <c r="A100" s="246" t="s">
        <v>113</v>
      </c>
      <c r="B100" s="227">
        <v>7210</v>
      </c>
      <c r="C100" s="188">
        <v>699</v>
      </c>
      <c r="D100" s="188">
        <v>1427.9</v>
      </c>
      <c r="E100" s="196">
        <v>2094.9</v>
      </c>
      <c r="F100" s="332">
        <v>2766.6000000000004</v>
      </c>
      <c r="G100" s="231"/>
      <c r="H100" s="231"/>
    </row>
    <row r="101" spans="1:8" s="228" customFormat="1">
      <c r="A101" s="247" t="s">
        <v>114</v>
      </c>
      <c r="B101" s="250">
        <v>7220</v>
      </c>
      <c r="C101" s="188">
        <f>'[32]1 кв'!F101</f>
        <v>0</v>
      </c>
      <c r="D101" s="188">
        <f>'[32]2 кв'!F101</f>
        <v>0</v>
      </c>
      <c r="E101" s="196">
        <f>'[32]3 кв'!F101</f>
        <v>0</v>
      </c>
      <c r="F101" s="332">
        <f>'[32]1 кв.22'!F101</f>
        <v>0</v>
      </c>
      <c r="G101" s="231"/>
      <c r="H101" s="231"/>
    </row>
    <row r="102" spans="1:8" s="228" customFormat="1" ht="31.5">
      <c r="A102" s="249" t="s">
        <v>115</v>
      </c>
      <c r="B102" s="227">
        <v>7300</v>
      </c>
      <c r="C102" s="188">
        <f>SUM(C103:C104)</f>
        <v>933.94799999999987</v>
      </c>
      <c r="D102" s="188">
        <f>SUM(D103:D104)</f>
        <v>1933.9079999999997</v>
      </c>
      <c r="E102" s="188">
        <f>SUM(E103:E104)</f>
        <v>2812.2015733999983</v>
      </c>
      <c r="F102" s="330">
        <f>F103+F104+F105+F106</f>
        <v>3723.3415733999982</v>
      </c>
      <c r="G102" s="231"/>
      <c r="H102" s="231"/>
    </row>
    <row r="103" spans="1:8" s="228" customFormat="1" ht="31.5">
      <c r="A103" s="248" t="s">
        <v>251</v>
      </c>
      <c r="B103" s="227">
        <v>7310</v>
      </c>
      <c r="C103" s="188">
        <v>874.94799999999987</v>
      </c>
      <c r="D103" s="188">
        <v>1814.2079999999996</v>
      </c>
      <c r="E103" s="196">
        <v>2636.5015733999985</v>
      </c>
      <c r="F103" s="329">
        <v>3491.4415733999981</v>
      </c>
      <c r="G103" s="231"/>
      <c r="H103" s="231"/>
    </row>
    <row r="104" spans="1:8" s="228" customFormat="1">
      <c r="A104" s="248" t="s">
        <v>117</v>
      </c>
      <c r="B104" s="227">
        <v>7320</v>
      </c>
      <c r="C104" s="188">
        <v>59</v>
      </c>
      <c r="D104" s="188">
        <v>119.7</v>
      </c>
      <c r="E104" s="196">
        <v>175.7</v>
      </c>
      <c r="F104" s="329">
        <v>231.89999999999998</v>
      </c>
      <c r="G104" s="231"/>
      <c r="H104" s="231"/>
    </row>
    <row r="105" spans="1:8" s="228" customFormat="1">
      <c r="A105" s="248" t="s">
        <v>118</v>
      </c>
      <c r="B105" s="227">
        <v>7330</v>
      </c>
      <c r="C105" s="188">
        <f>'[32]1 кв'!F105</f>
        <v>0</v>
      </c>
      <c r="D105" s="188">
        <f>'[32]2 кв'!F105</f>
        <v>0</v>
      </c>
      <c r="E105" s="196">
        <f>'[32]3 кв'!F105</f>
        <v>0</v>
      </c>
      <c r="F105" s="329"/>
      <c r="G105" s="231"/>
      <c r="H105" s="231"/>
    </row>
    <row r="106" spans="1:8" s="228" customFormat="1">
      <c r="A106" s="248" t="s">
        <v>250</v>
      </c>
      <c r="B106" s="227">
        <v>7340</v>
      </c>
      <c r="C106" s="188">
        <f>'[32]1 кв'!F106</f>
        <v>0</v>
      </c>
      <c r="D106" s="188">
        <f>'[32]2 кв'!F106</f>
        <v>0</v>
      </c>
      <c r="E106" s="196">
        <f>'[32]3 кв'!F106</f>
        <v>0</v>
      </c>
      <c r="F106" s="329"/>
      <c r="G106" s="231"/>
      <c r="H106" s="231"/>
    </row>
    <row r="107" spans="1:8" s="228" customFormat="1" ht="16.5" thickBot="1">
      <c r="A107" s="249" t="s">
        <v>119</v>
      </c>
      <c r="B107" s="227">
        <v>7000</v>
      </c>
      <c r="C107" s="197">
        <f>C102+C99+C94</f>
        <v>1639.2479999999998</v>
      </c>
      <c r="D107" s="197">
        <f>D102+D99+D94</f>
        <v>3378.308</v>
      </c>
      <c r="E107" s="197">
        <f>E102+E99+E94</f>
        <v>4926.3015733999982</v>
      </c>
      <c r="F107" s="330">
        <f>F102+F99+F94</f>
        <v>6512.8415733999982</v>
      </c>
      <c r="G107" s="231"/>
      <c r="H107" s="231"/>
    </row>
    <row r="108" spans="1:8" s="228" customFormat="1" ht="16.5" thickBot="1">
      <c r="A108" s="428" t="s">
        <v>120</v>
      </c>
      <c r="B108" s="428"/>
      <c r="C108" s="428"/>
      <c r="D108" s="428"/>
      <c r="E108" s="428"/>
      <c r="F108" s="428"/>
      <c r="G108" s="231"/>
      <c r="H108" s="231"/>
    </row>
    <row r="109" spans="1:8" s="228" customFormat="1">
      <c r="A109" s="251" t="s">
        <v>121</v>
      </c>
      <c r="B109" s="227">
        <v>8000</v>
      </c>
      <c r="C109" s="197"/>
      <c r="D109" s="197">
        <f>SUM(D110:D115)</f>
        <v>84</v>
      </c>
      <c r="E109" s="197">
        <f>E110+E111+E112+E113+E114+E115</f>
        <v>0</v>
      </c>
      <c r="F109" s="330">
        <f>F110+F111+F112+F113+F114+F115</f>
        <v>0</v>
      </c>
      <c r="G109" s="231"/>
      <c r="H109" s="231"/>
    </row>
    <row r="110" spans="1:8" s="228" customFormat="1">
      <c r="A110" s="246" t="s">
        <v>122</v>
      </c>
      <c r="B110" s="227">
        <v>8010</v>
      </c>
      <c r="C110" s="189"/>
      <c r="D110" s="189"/>
      <c r="E110" s="189"/>
      <c r="F110" s="329"/>
      <c r="G110" s="231"/>
      <c r="H110" s="231"/>
    </row>
    <row r="111" spans="1:8" s="228" customFormat="1">
      <c r="A111" s="246" t="s">
        <v>123</v>
      </c>
      <c r="B111" s="227">
        <v>8020</v>
      </c>
      <c r="C111" s="189"/>
      <c r="D111" s="189"/>
      <c r="E111" s="189"/>
      <c r="F111" s="329"/>
      <c r="G111" s="231"/>
      <c r="H111" s="231"/>
    </row>
    <row r="112" spans="1:8" s="228" customFormat="1">
      <c r="A112" s="246" t="s">
        <v>124</v>
      </c>
      <c r="B112" s="227">
        <v>8030</v>
      </c>
      <c r="C112" s="189"/>
      <c r="D112" s="189">
        <v>84</v>
      </c>
      <c r="E112" s="189"/>
      <c r="F112" s="329"/>
      <c r="G112" s="231"/>
      <c r="H112" s="231"/>
    </row>
    <row r="113" spans="1:8" s="228" customFormat="1">
      <c r="A113" s="246" t="s">
        <v>125</v>
      </c>
      <c r="B113" s="227">
        <v>8040</v>
      </c>
      <c r="C113" s="189"/>
      <c r="D113" s="189"/>
      <c r="E113" s="189"/>
      <c r="F113" s="329"/>
      <c r="G113" s="231"/>
      <c r="H113" s="231"/>
    </row>
    <row r="114" spans="1:8" s="228" customFormat="1" ht="31.5">
      <c r="A114" s="246" t="s">
        <v>126</v>
      </c>
      <c r="B114" s="227">
        <v>8050</v>
      </c>
      <c r="C114" s="189"/>
      <c r="D114" s="189"/>
      <c r="E114" s="189"/>
      <c r="F114" s="329"/>
      <c r="G114" s="231"/>
      <c r="H114" s="231"/>
    </row>
    <row r="115" spans="1:8" s="228" customFormat="1">
      <c r="A115" s="246" t="s">
        <v>127</v>
      </c>
      <c r="B115" s="226">
        <v>8060</v>
      </c>
      <c r="C115" s="189"/>
      <c r="D115" s="189"/>
      <c r="E115" s="189"/>
      <c r="F115" s="329"/>
      <c r="G115" s="231"/>
      <c r="H115" s="231"/>
    </row>
    <row r="116" spans="1:8" s="228" customFormat="1">
      <c r="A116" s="249" t="s">
        <v>128</v>
      </c>
      <c r="B116" s="252">
        <v>8100</v>
      </c>
      <c r="C116" s="190"/>
      <c r="D116" s="190"/>
      <c r="E116" s="190">
        <f>E117+E118+E119+E120</f>
        <v>0</v>
      </c>
      <c r="F116" s="326">
        <f>F117+F118+F119+F120</f>
        <v>0</v>
      </c>
      <c r="G116" s="231"/>
      <c r="H116" s="231"/>
    </row>
    <row r="117" spans="1:8" s="228" customFormat="1">
      <c r="A117" s="247" t="s">
        <v>129</v>
      </c>
      <c r="B117" s="252" t="s">
        <v>130</v>
      </c>
      <c r="C117" s="189"/>
      <c r="D117" s="189"/>
      <c r="E117" s="189"/>
      <c r="F117" s="329"/>
      <c r="G117" s="231"/>
      <c r="H117" s="231"/>
    </row>
    <row r="118" spans="1:8" s="228" customFormat="1">
      <c r="A118" s="247" t="s">
        <v>131</v>
      </c>
      <c r="B118" s="252" t="s">
        <v>132</v>
      </c>
      <c r="C118" s="189"/>
      <c r="D118" s="189"/>
      <c r="E118" s="189"/>
      <c r="F118" s="329"/>
      <c r="G118" s="231"/>
      <c r="H118" s="231"/>
    </row>
    <row r="119" spans="1:8" s="228" customFormat="1">
      <c r="A119" s="247" t="s">
        <v>133</v>
      </c>
      <c r="B119" s="252" t="s">
        <v>134</v>
      </c>
      <c r="C119" s="189"/>
      <c r="D119" s="189"/>
      <c r="E119" s="189"/>
      <c r="F119" s="329"/>
      <c r="G119" s="231"/>
      <c r="H119" s="231"/>
    </row>
    <row r="120" spans="1:8" s="228" customFormat="1" ht="16.5" thickBot="1">
      <c r="A120" s="253" t="s">
        <v>135</v>
      </c>
      <c r="B120" s="254" t="s">
        <v>136</v>
      </c>
      <c r="C120" s="336"/>
      <c r="D120" s="336"/>
      <c r="E120" s="189"/>
      <c r="F120" s="329"/>
      <c r="G120" s="231"/>
      <c r="H120" s="231"/>
    </row>
    <row r="121" spans="1:8" s="228" customFormat="1" ht="16.5" thickBot="1">
      <c r="A121" s="429" t="s">
        <v>137</v>
      </c>
      <c r="B121" s="429"/>
      <c r="C121" s="429"/>
      <c r="D121" s="429"/>
      <c r="E121" s="429"/>
      <c r="F121" s="429"/>
      <c r="G121" s="231"/>
    </row>
    <row r="122" spans="1:8" s="228" customFormat="1">
      <c r="A122" s="255" t="s">
        <v>138</v>
      </c>
      <c r="B122" s="252">
        <v>9010</v>
      </c>
      <c r="C122" s="193"/>
      <c r="D122" s="170">
        <f>D92/D32</f>
        <v>-0.15495436647232991</v>
      </c>
      <c r="E122" s="193"/>
      <c r="F122" s="365">
        <f>F92/F32*100</f>
        <v>9.494190731562032</v>
      </c>
      <c r="G122" s="231"/>
    </row>
    <row r="123" spans="1:8" s="228" customFormat="1">
      <c r="A123" s="255" t="s">
        <v>139</v>
      </c>
      <c r="B123" s="252">
        <v>9020</v>
      </c>
      <c r="C123" s="193"/>
      <c r="D123" s="170">
        <f>D92/D135*100</f>
        <v>-41.170500932659294</v>
      </c>
      <c r="E123" s="193"/>
      <c r="F123" s="365">
        <f>F92/F135*100</f>
        <v>70.82160113809249</v>
      </c>
      <c r="G123" s="231"/>
    </row>
    <row r="124" spans="1:8" s="228" customFormat="1">
      <c r="A124" s="248" t="s">
        <v>140</v>
      </c>
      <c r="B124" s="226">
        <v>9030</v>
      </c>
      <c r="C124" s="198"/>
      <c r="D124" s="170">
        <f>D92/D141*100</f>
        <v>76.410516281170061</v>
      </c>
      <c r="E124" s="198"/>
      <c r="F124" s="365">
        <f>F92/F141*100</f>
        <v>134.92605116818339</v>
      </c>
      <c r="G124" s="231"/>
    </row>
    <row r="125" spans="1:8" s="228" customFormat="1">
      <c r="A125" s="256" t="s">
        <v>141</v>
      </c>
      <c r="B125" s="257">
        <v>9040</v>
      </c>
      <c r="C125" s="199"/>
      <c r="D125" s="170">
        <f>D141/(D136+D137)</f>
        <v>-0.3501458135694458</v>
      </c>
      <c r="E125" s="199"/>
      <c r="F125" s="365">
        <f>F141/(F136+F137)</f>
        <v>1.1047844744763977</v>
      </c>
      <c r="G125" s="231"/>
    </row>
    <row r="126" spans="1:8" s="228" customFormat="1" ht="16.5" thickBot="1">
      <c r="A126" s="258" t="s">
        <v>142</v>
      </c>
      <c r="B126" s="257">
        <v>9050</v>
      </c>
      <c r="C126" s="200"/>
      <c r="D126" s="170">
        <f>D131/D130</f>
        <v>0.68235871031016304</v>
      </c>
      <c r="E126" s="200"/>
      <c r="F126" s="365">
        <f>F131/F130</f>
        <v>0.70514897774919294</v>
      </c>
      <c r="G126" s="231"/>
    </row>
    <row r="127" spans="1:8" s="228" customFormat="1" ht="16.5" thickBot="1">
      <c r="A127" s="430" t="s">
        <v>143</v>
      </c>
      <c r="B127" s="430"/>
      <c r="C127" s="430"/>
      <c r="D127" s="430"/>
      <c r="E127" s="430"/>
      <c r="F127" s="430"/>
      <c r="G127" s="231"/>
    </row>
    <row r="128" spans="1:8" s="228" customFormat="1">
      <c r="A128" s="255" t="s">
        <v>144</v>
      </c>
      <c r="B128" s="252">
        <v>10000</v>
      </c>
      <c r="C128" s="189">
        <f>C129</f>
        <v>2673.2</v>
      </c>
      <c r="D128" s="189">
        <f>D129</f>
        <v>2591</v>
      </c>
      <c r="E128" s="189">
        <f>E129</f>
        <v>2507</v>
      </c>
      <c r="F128" s="329">
        <v>2467.9</v>
      </c>
      <c r="G128" s="231"/>
    </row>
    <row r="129" spans="1:7" s="228" customFormat="1">
      <c r="A129" s="255" t="s">
        <v>145</v>
      </c>
      <c r="B129" s="252">
        <v>10001</v>
      </c>
      <c r="C129" s="204">
        <f>C130-C131</f>
        <v>2673.2</v>
      </c>
      <c r="D129" s="204">
        <f>D130-D131</f>
        <v>2591</v>
      </c>
      <c r="E129" s="204">
        <f>E130-E131</f>
        <v>2507</v>
      </c>
      <c r="F129" s="340">
        <v>2383.9000000000005</v>
      </c>
      <c r="G129" s="231"/>
    </row>
    <row r="130" spans="1:7" s="228" customFormat="1">
      <c r="A130" s="255" t="s">
        <v>146</v>
      </c>
      <c r="B130" s="252">
        <v>10002</v>
      </c>
      <c r="C130" s="188">
        <v>8156.4</v>
      </c>
      <c r="D130" s="188">
        <v>8157</v>
      </c>
      <c r="E130" s="189">
        <v>8127</v>
      </c>
      <c r="F130" s="341">
        <v>8085.1</v>
      </c>
      <c r="G130" s="231"/>
    </row>
    <row r="131" spans="1:7" s="228" customFormat="1">
      <c r="A131" s="255" t="s">
        <v>147</v>
      </c>
      <c r="B131" s="252">
        <v>10003</v>
      </c>
      <c r="C131" s="188">
        <v>5483.2</v>
      </c>
      <c r="D131" s="188">
        <v>5566</v>
      </c>
      <c r="E131" s="189">
        <v>5620</v>
      </c>
      <c r="F131" s="341">
        <v>5701.2</v>
      </c>
      <c r="G131" s="231"/>
    </row>
    <row r="132" spans="1:7" s="228" customFormat="1">
      <c r="A132" s="248" t="s">
        <v>148</v>
      </c>
      <c r="B132" s="226">
        <v>10010</v>
      </c>
      <c r="C132" s="201">
        <f>C133+C134</f>
        <v>1319.3</v>
      </c>
      <c r="D132" s="201">
        <f>D133+D134</f>
        <v>1108.1000000000001</v>
      </c>
      <c r="E132" s="201">
        <f>E133+E134</f>
        <v>962</v>
      </c>
      <c r="F132" s="341">
        <v>818.3</v>
      </c>
      <c r="G132" s="231"/>
    </row>
    <row r="133" spans="1:7" s="228" customFormat="1">
      <c r="A133" s="248" t="s">
        <v>149</v>
      </c>
      <c r="B133" s="226">
        <v>10011</v>
      </c>
      <c r="C133" s="188">
        <v>1299.5999999999999</v>
      </c>
      <c r="D133" s="188">
        <v>1084.2</v>
      </c>
      <c r="E133" s="189">
        <v>944</v>
      </c>
      <c r="F133" s="341">
        <v>97.7</v>
      </c>
      <c r="G133" s="231"/>
    </row>
    <row r="134" spans="1:7" s="228" customFormat="1">
      <c r="A134" s="248" t="s">
        <v>150</v>
      </c>
      <c r="B134" s="226">
        <v>10012</v>
      </c>
      <c r="C134" s="188">
        <v>19.7</v>
      </c>
      <c r="D134" s="188">
        <v>23.9</v>
      </c>
      <c r="E134" s="189">
        <v>18</v>
      </c>
      <c r="F134" s="341">
        <v>7.5</v>
      </c>
      <c r="G134" s="231"/>
    </row>
    <row r="135" spans="1:7" s="261" customFormat="1">
      <c r="A135" s="259" t="s">
        <v>151</v>
      </c>
      <c r="B135" s="260">
        <v>10020</v>
      </c>
      <c r="C135" s="208">
        <f>C128+C132</f>
        <v>3992.5</v>
      </c>
      <c r="D135" s="208">
        <f>D128+D132</f>
        <v>3699.1000000000004</v>
      </c>
      <c r="E135" s="208">
        <f>E128+E132</f>
        <v>3469</v>
      </c>
      <c r="F135" s="327">
        <f>F128+F132</f>
        <v>3286.2</v>
      </c>
      <c r="G135" s="231"/>
    </row>
    <row r="136" spans="1:7" s="228" customFormat="1">
      <c r="A136" s="248" t="s">
        <v>152</v>
      </c>
      <c r="B136" s="226">
        <v>10030</v>
      </c>
      <c r="C136" s="188">
        <v>16</v>
      </c>
      <c r="D136" s="188">
        <v>7.8</v>
      </c>
      <c r="E136" s="189">
        <v>7</v>
      </c>
      <c r="F136" s="341">
        <v>0</v>
      </c>
      <c r="G136" s="231"/>
    </row>
    <row r="137" spans="1:7" s="228" customFormat="1">
      <c r="A137" s="248" t="s">
        <v>153</v>
      </c>
      <c r="B137" s="226">
        <v>10040</v>
      </c>
      <c r="C137" s="188">
        <v>4846.1000000000004</v>
      </c>
      <c r="D137" s="188">
        <v>5684.4</v>
      </c>
      <c r="E137" s="189">
        <v>1595</v>
      </c>
      <c r="F137" s="341">
        <v>1561.3</v>
      </c>
      <c r="G137" s="231"/>
    </row>
    <row r="138" spans="1:7" s="228" customFormat="1">
      <c r="A138" s="249" t="s">
        <v>154</v>
      </c>
      <c r="B138" s="226">
        <v>10050</v>
      </c>
      <c r="C138" s="190">
        <f>C136+C137</f>
        <v>4862.1000000000004</v>
      </c>
      <c r="D138" s="190">
        <f>D136+D137</f>
        <v>5692.2</v>
      </c>
      <c r="E138" s="190">
        <f>E136+E137</f>
        <v>1602</v>
      </c>
      <c r="F138" s="326">
        <f>F136+F137</f>
        <v>1561.3</v>
      </c>
      <c r="G138" s="231"/>
    </row>
    <row r="139" spans="1:7" s="228" customFormat="1">
      <c r="A139" s="248" t="s">
        <v>155</v>
      </c>
      <c r="B139" s="226">
        <v>10060</v>
      </c>
      <c r="C139" s="189"/>
      <c r="D139" s="189"/>
      <c r="E139" s="189"/>
      <c r="F139" s="341"/>
      <c r="G139" s="231"/>
    </row>
    <row r="140" spans="1:7" s="228" customFormat="1">
      <c r="A140" s="248" t="s">
        <v>156</v>
      </c>
      <c r="B140" s="226">
        <v>10070</v>
      </c>
      <c r="C140" s="189"/>
      <c r="D140" s="189"/>
      <c r="E140" s="189"/>
      <c r="F140" s="360"/>
      <c r="G140" s="231"/>
    </row>
    <row r="141" spans="1:7" s="228" customFormat="1" ht="16.5" thickBot="1">
      <c r="A141" s="249" t="s">
        <v>157</v>
      </c>
      <c r="B141" s="226">
        <v>10080</v>
      </c>
      <c r="C141" s="197">
        <f>C135-C138</f>
        <v>-869.60000000000036</v>
      </c>
      <c r="D141" s="197">
        <f>D135-D138</f>
        <v>-1993.0999999999995</v>
      </c>
      <c r="E141" s="197">
        <f>E135-E138</f>
        <v>1867</v>
      </c>
      <c r="F141" s="330">
        <f>F135-F138</f>
        <v>1724.8999999999999</v>
      </c>
      <c r="G141" s="231"/>
    </row>
    <row r="142" spans="1:7" s="228" customFormat="1" ht="16.5" thickBot="1">
      <c r="A142" s="428" t="s">
        <v>158</v>
      </c>
      <c r="B142" s="428"/>
      <c r="C142" s="428"/>
      <c r="D142" s="428"/>
      <c r="E142" s="428"/>
      <c r="F142" s="428"/>
      <c r="G142" s="231"/>
    </row>
    <row r="143" spans="1:7" s="228" customFormat="1">
      <c r="A143" s="251" t="s">
        <v>159</v>
      </c>
      <c r="B143" s="262" t="s">
        <v>160</v>
      </c>
      <c r="C143" s="197"/>
      <c r="D143" s="197"/>
      <c r="E143" s="197">
        <f>SUM(E144:E146)</f>
        <v>0</v>
      </c>
      <c r="F143" s="330">
        <f>SUM(F144:F146)</f>
        <v>0</v>
      </c>
      <c r="G143" s="231"/>
    </row>
    <row r="144" spans="1:7" s="228" customFormat="1">
      <c r="A144" s="248" t="s">
        <v>161</v>
      </c>
      <c r="B144" s="263" t="s">
        <v>162</v>
      </c>
      <c r="C144" s="189"/>
      <c r="D144" s="189"/>
      <c r="E144" s="189"/>
      <c r="F144" s="329"/>
      <c r="G144" s="231"/>
    </row>
    <row r="145" spans="1:7" s="228" customFormat="1">
      <c r="A145" s="248" t="s">
        <v>163</v>
      </c>
      <c r="B145" s="263" t="s">
        <v>164</v>
      </c>
      <c r="C145" s="189"/>
      <c r="D145" s="189"/>
      <c r="E145" s="189"/>
      <c r="F145" s="329"/>
      <c r="G145" s="231"/>
    </row>
    <row r="146" spans="1:7" s="228" customFormat="1">
      <c r="A146" s="248" t="s">
        <v>165</v>
      </c>
      <c r="B146" s="263" t="s">
        <v>166</v>
      </c>
      <c r="C146" s="189"/>
      <c r="D146" s="189"/>
      <c r="E146" s="189"/>
      <c r="F146" s="329"/>
      <c r="G146" s="231"/>
    </row>
    <row r="147" spans="1:7" s="228" customFormat="1">
      <c r="A147" s="249" t="s">
        <v>167</v>
      </c>
      <c r="B147" s="263" t="s">
        <v>168</v>
      </c>
      <c r="C147" s="190"/>
      <c r="D147" s="190"/>
      <c r="E147" s="190">
        <f>SUM(E148:E150)</f>
        <v>0</v>
      </c>
      <c r="F147" s="326">
        <f>SUM(F148:F150)</f>
        <v>0</v>
      </c>
      <c r="G147" s="231"/>
    </row>
    <row r="148" spans="1:7" s="228" customFormat="1">
      <c r="A148" s="248" t="s">
        <v>161</v>
      </c>
      <c r="B148" s="263" t="s">
        <v>169</v>
      </c>
      <c r="C148" s="189"/>
      <c r="D148" s="189"/>
      <c r="E148" s="189"/>
      <c r="F148" s="329"/>
      <c r="G148" s="231"/>
    </row>
    <row r="149" spans="1:7" s="228" customFormat="1">
      <c r="A149" s="248" t="s">
        <v>163</v>
      </c>
      <c r="B149" s="263" t="s">
        <v>170</v>
      </c>
      <c r="C149" s="189"/>
      <c r="D149" s="189"/>
      <c r="E149" s="189"/>
      <c r="F149" s="329"/>
      <c r="G149" s="231"/>
    </row>
    <row r="150" spans="1:7" s="228" customFormat="1" ht="16.5" thickBot="1">
      <c r="A150" s="256" t="s">
        <v>165</v>
      </c>
      <c r="B150" s="264" t="s">
        <v>171</v>
      </c>
      <c r="C150" s="189"/>
      <c r="D150" s="189"/>
      <c r="E150" s="189"/>
      <c r="F150" s="329"/>
      <c r="G150" s="231"/>
    </row>
    <row r="151" spans="1:7" s="228" customFormat="1" ht="16.5" thickBot="1">
      <c r="A151" s="430" t="s">
        <v>172</v>
      </c>
      <c r="B151" s="430"/>
      <c r="C151" s="430"/>
      <c r="D151" s="430"/>
      <c r="E151" s="430"/>
      <c r="F151" s="430"/>
      <c r="G151" s="231"/>
    </row>
    <row r="152" spans="1:7" s="228" customFormat="1" ht="47.25">
      <c r="A152" s="249" t="s">
        <v>258</v>
      </c>
      <c r="B152" s="263" t="s">
        <v>174</v>
      </c>
      <c r="C152" s="190">
        <f>C153+C154+C155+C156+C157+C158</f>
        <v>112.5</v>
      </c>
      <c r="D152" s="190">
        <f>D153+D154+D155+D156+D157+D158</f>
        <v>106.75</v>
      </c>
      <c r="E152" s="190">
        <f>E153+E154+E155+E156+E157+E158</f>
        <v>104.875</v>
      </c>
      <c r="F152" s="326">
        <f>F153+F154+F155+F156+F157+F158</f>
        <v>106</v>
      </c>
      <c r="G152" s="231"/>
    </row>
    <row r="153" spans="1:7" s="228" customFormat="1">
      <c r="A153" s="246" t="s">
        <v>175</v>
      </c>
      <c r="B153" s="263" t="s">
        <v>176</v>
      </c>
      <c r="C153" s="196">
        <v>1</v>
      </c>
      <c r="D153" s="196">
        <v>1</v>
      </c>
      <c r="E153" s="196">
        <v>1</v>
      </c>
      <c r="F153" s="332">
        <v>1</v>
      </c>
      <c r="G153" s="231"/>
    </row>
    <row r="154" spans="1:7" s="228" customFormat="1">
      <c r="A154" s="246" t="s">
        <v>177</v>
      </c>
      <c r="B154" s="263" t="s">
        <v>178</v>
      </c>
      <c r="C154" s="196">
        <v>4.5</v>
      </c>
      <c r="D154" s="196">
        <v>4.75</v>
      </c>
      <c r="E154" s="196">
        <v>4.875</v>
      </c>
      <c r="F154" s="332">
        <v>5</v>
      </c>
      <c r="G154" s="231"/>
    </row>
    <row r="155" spans="1:7" s="228" customFormat="1">
      <c r="A155" s="246" t="s">
        <v>179</v>
      </c>
      <c r="B155" s="263" t="s">
        <v>180</v>
      </c>
      <c r="C155" s="196">
        <v>34</v>
      </c>
      <c r="D155" s="196">
        <v>32</v>
      </c>
      <c r="E155" s="196">
        <v>31</v>
      </c>
      <c r="F155" s="332">
        <v>32</v>
      </c>
      <c r="G155" s="231"/>
    </row>
    <row r="156" spans="1:7" s="228" customFormat="1">
      <c r="A156" s="246" t="s">
        <v>181</v>
      </c>
      <c r="B156" s="263" t="s">
        <v>182</v>
      </c>
      <c r="C156" s="196">
        <v>35</v>
      </c>
      <c r="D156" s="196">
        <v>32</v>
      </c>
      <c r="E156" s="196">
        <v>31.5</v>
      </c>
      <c r="F156" s="332">
        <v>33</v>
      </c>
      <c r="G156" s="231"/>
    </row>
    <row r="157" spans="1:7" s="228" customFormat="1">
      <c r="A157" s="246" t="s">
        <v>183</v>
      </c>
      <c r="B157" s="263" t="s">
        <v>184</v>
      </c>
      <c r="C157" s="196">
        <v>18</v>
      </c>
      <c r="D157" s="196">
        <v>17</v>
      </c>
      <c r="E157" s="196">
        <v>16.5</v>
      </c>
      <c r="F157" s="332">
        <v>16</v>
      </c>
      <c r="G157" s="231"/>
    </row>
    <row r="158" spans="1:7" s="228" customFormat="1">
      <c r="A158" s="246" t="s">
        <v>185</v>
      </c>
      <c r="B158" s="263" t="s">
        <v>186</v>
      </c>
      <c r="C158" s="196">
        <v>20</v>
      </c>
      <c r="D158" s="196">
        <v>20</v>
      </c>
      <c r="E158" s="196">
        <v>20</v>
      </c>
      <c r="F158" s="332">
        <v>19</v>
      </c>
      <c r="G158" s="231"/>
    </row>
    <row r="159" spans="1:7" s="228" customFormat="1">
      <c r="A159" s="265" t="s">
        <v>187</v>
      </c>
      <c r="B159" s="263" t="s">
        <v>188</v>
      </c>
      <c r="C159" s="195">
        <f>C160+C161+C162+C163+C164+C165</f>
        <v>4728.348</v>
      </c>
      <c r="D159" s="195">
        <f>D160+D161+D162+D163+D164+D165</f>
        <v>9729.0080000000016</v>
      </c>
      <c r="E159" s="195">
        <f>E160+E161+E162+E163+E164+E165</f>
        <v>14145.090543399998</v>
      </c>
      <c r="F159" s="331">
        <f>F160+F161+F162+F163+F164+F165</f>
        <v>18677.0305434</v>
      </c>
      <c r="G159" s="231"/>
    </row>
    <row r="160" spans="1:7" s="228" customFormat="1">
      <c r="A160" s="246" t="s">
        <v>175</v>
      </c>
      <c r="B160" s="263" t="s">
        <v>189</v>
      </c>
      <c r="C160" s="191">
        <f>C167*1.22</f>
        <v>186.78199999999998</v>
      </c>
      <c r="D160" s="191">
        <v>373.56399999999996</v>
      </c>
      <c r="E160" s="196">
        <v>560.74768499999993</v>
      </c>
      <c r="F160" s="361">
        <v>739.11168499999985</v>
      </c>
      <c r="G160" s="231"/>
    </row>
    <row r="161" spans="1:7" s="228" customFormat="1">
      <c r="A161" s="246" t="s">
        <v>177</v>
      </c>
      <c r="B161" s="263" t="s">
        <v>190</v>
      </c>
      <c r="C161" s="191">
        <f>C168*1.22</f>
        <v>292.678</v>
      </c>
      <c r="D161" s="191">
        <v>606.58400000000006</v>
      </c>
      <c r="E161" s="196">
        <v>887.74379700000009</v>
      </c>
      <c r="F161" s="361">
        <v>1210.921797</v>
      </c>
      <c r="G161" s="231"/>
    </row>
    <row r="162" spans="1:7" s="228" customFormat="1">
      <c r="A162" s="246" t="s">
        <v>179</v>
      </c>
      <c r="B162" s="263" t="s">
        <v>191</v>
      </c>
      <c r="C162" s="191">
        <f>C169*1.22+8.4</f>
        <v>1977.846</v>
      </c>
      <c r="D162" s="191">
        <v>4104.5920000000006</v>
      </c>
      <c r="E162" s="196">
        <v>5887.6705560000009</v>
      </c>
      <c r="F162" s="361">
        <v>7789.398556000001</v>
      </c>
      <c r="G162" s="231"/>
    </row>
    <row r="163" spans="1:7" s="228" customFormat="1">
      <c r="A163" s="246" t="s">
        <v>181</v>
      </c>
      <c r="B163" s="263" t="s">
        <v>192</v>
      </c>
      <c r="C163" s="191">
        <f>C170*1.22</f>
        <v>1313.2080000000001</v>
      </c>
      <c r="D163" s="191">
        <v>2696.192</v>
      </c>
      <c r="E163" s="196">
        <v>3928.9479173999998</v>
      </c>
      <c r="F163" s="361">
        <v>5207.3819174</v>
      </c>
      <c r="G163" s="231"/>
    </row>
    <row r="164" spans="1:7" s="228" customFormat="1">
      <c r="A164" s="246" t="s">
        <v>183</v>
      </c>
      <c r="B164" s="263" t="s">
        <v>193</v>
      </c>
      <c r="C164" s="191">
        <f>C171*1.22+9.4</f>
        <v>369.666</v>
      </c>
      <c r="D164" s="191">
        <v>749.31399999999996</v>
      </c>
      <c r="E164" s="196">
        <v>1156.3762473999998</v>
      </c>
      <c r="F164" s="361">
        <v>1554.9462473999997</v>
      </c>
      <c r="G164" s="231"/>
    </row>
    <row r="165" spans="1:7" s="228" customFormat="1">
      <c r="A165" s="246" t="s">
        <v>185</v>
      </c>
      <c r="B165" s="263" t="s">
        <v>194</v>
      </c>
      <c r="C165" s="191">
        <f>C172*1.22+9.4</f>
        <v>588.16799999999989</v>
      </c>
      <c r="D165" s="191">
        <v>1198.7619999999997</v>
      </c>
      <c r="E165" s="196">
        <v>1723.6043405999999</v>
      </c>
      <c r="F165" s="361">
        <v>2175.2703406000001</v>
      </c>
      <c r="G165" s="231"/>
    </row>
    <row r="166" spans="1:7" s="228" customFormat="1">
      <c r="A166" s="249" t="s">
        <v>195</v>
      </c>
      <c r="B166" s="263" t="s">
        <v>196</v>
      </c>
      <c r="C166" s="195">
        <f>SUM(C167:C172)</f>
        <v>3853.4</v>
      </c>
      <c r="D166" s="195">
        <f>SUM(D167:D172)</f>
        <v>7914.7999999999993</v>
      </c>
      <c r="E166" s="195">
        <f>SUM(E167:E172)</f>
        <v>11508.588969999999</v>
      </c>
      <c r="F166" s="331">
        <f>SUM(F167:F172)</f>
        <v>15185.588969999999</v>
      </c>
      <c r="G166" s="231"/>
    </row>
    <row r="167" spans="1:7" s="228" customFormat="1">
      <c r="A167" s="246" t="s">
        <v>175</v>
      </c>
      <c r="B167" s="263" t="s">
        <v>197</v>
      </c>
      <c r="C167" s="191">
        <v>153.1</v>
      </c>
      <c r="D167" s="191">
        <v>306.2</v>
      </c>
      <c r="E167" s="196">
        <v>459.62924999999996</v>
      </c>
      <c r="F167" s="362">
        <v>605.82925</v>
      </c>
      <c r="G167" s="231"/>
    </row>
    <row r="168" spans="1:7" s="228" customFormat="1">
      <c r="A168" s="246" t="s">
        <v>177</v>
      </c>
      <c r="B168" s="263" t="s">
        <v>198</v>
      </c>
      <c r="C168" s="191">
        <v>239.9</v>
      </c>
      <c r="D168" s="191">
        <v>497.20000000000005</v>
      </c>
      <c r="E168" s="196">
        <v>727.65885000000003</v>
      </c>
      <c r="F168" s="362">
        <v>992.55885000000001</v>
      </c>
      <c r="G168" s="231"/>
    </row>
    <row r="169" spans="1:7" s="228" customFormat="1">
      <c r="A169" s="246" t="s">
        <v>179</v>
      </c>
      <c r="B169" s="263" t="s">
        <v>199</v>
      </c>
      <c r="C169" s="191">
        <v>1614.3</v>
      </c>
      <c r="D169" s="191">
        <v>3345.2</v>
      </c>
      <c r="E169" s="196">
        <v>4806.7397999999994</v>
      </c>
      <c r="F169" s="362">
        <v>6349.139799999999</v>
      </c>
      <c r="G169" s="231"/>
    </row>
    <row r="170" spans="1:7" s="228" customFormat="1">
      <c r="A170" s="246" t="s">
        <v>181</v>
      </c>
      <c r="B170" s="263" t="s">
        <v>200</v>
      </c>
      <c r="C170" s="191">
        <v>1076.4000000000001</v>
      </c>
      <c r="D170" s="191">
        <v>2200.4</v>
      </c>
      <c r="E170" s="196">
        <v>3210.8556699999999</v>
      </c>
      <c r="F170" s="362">
        <v>4250.5556699999997</v>
      </c>
      <c r="G170" s="231"/>
    </row>
    <row r="171" spans="1:7" s="228" customFormat="1">
      <c r="A171" s="246" t="s">
        <v>183</v>
      </c>
      <c r="B171" s="263" t="s">
        <v>201</v>
      </c>
      <c r="C171" s="191">
        <f>295.3</f>
        <v>295.3</v>
      </c>
      <c r="D171" s="191">
        <v>598.70000000000005</v>
      </c>
      <c r="E171" s="196">
        <v>919.38216999999997</v>
      </c>
      <c r="F171" s="362">
        <v>1237.8821699999999</v>
      </c>
      <c r="G171" s="231"/>
    </row>
    <row r="172" spans="1:7" s="228" customFormat="1">
      <c r="A172" s="246" t="s">
        <v>185</v>
      </c>
      <c r="B172" s="263" t="s">
        <v>202</v>
      </c>
      <c r="C172" s="191">
        <f>474.4</f>
        <v>474.4</v>
      </c>
      <c r="D172" s="191">
        <v>967.09999999999991</v>
      </c>
      <c r="E172" s="196">
        <v>1384.32323</v>
      </c>
      <c r="F172" s="362">
        <v>1749.6232299999999</v>
      </c>
      <c r="G172" s="231"/>
    </row>
    <row r="173" spans="1:7" s="228" customFormat="1" ht="31.5">
      <c r="A173" s="249" t="s">
        <v>203</v>
      </c>
      <c r="B173" s="263" t="s">
        <v>204</v>
      </c>
      <c r="C173" s="203">
        <f>C166/C152/3*1000</f>
        <v>11417.481481481482</v>
      </c>
      <c r="D173" s="203">
        <f>D166/D152/6*1000</f>
        <v>12357.220921155345</v>
      </c>
      <c r="E173" s="203">
        <v>12192.916403125413</v>
      </c>
      <c r="F173" s="333">
        <f>F166/F152/3*1000</f>
        <v>47753.42443396226</v>
      </c>
      <c r="G173" s="231"/>
    </row>
    <row r="174" spans="1:7" s="228" customFormat="1">
      <c r="A174" s="246" t="s">
        <v>175</v>
      </c>
      <c r="B174" s="263" t="s">
        <v>205</v>
      </c>
      <c r="C174" s="191">
        <f t="shared" ref="C174:C179" si="0">C167/3/C153*1000</f>
        <v>51033.333333333328</v>
      </c>
      <c r="D174" s="191">
        <v>51033.333333333328</v>
      </c>
      <c r="E174" s="196">
        <v>51069.916666666664</v>
      </c>
      <c r="F174" s="340">
        <v>50485.770833333336</v>
      </c>
      <c r="G174" s="231"/>
    </row>
    <row r="175" spans="1:7" s="228" customFormat="1">
      <c r="A175" s="246" t="s">
        <v>177</v>
      </c>
      <c r="B175" s="263" t="s">
        <v>206</v>
      </c>
      <c r="C175" s="191">
        <f t="shared" si="0"/>
        <v>17770.370370370372</v>
      </c>
      <c r="D175" s="191">
        <v>17445.614035087721</v>
      </c>
      <c r="E175" s="196">
        <v>16584.817094017093</v>
      </c>
      <c r="F175" s="340">
        <v>16542.647500000003</v>
      </c>
      <c r="G175" s="231"/>
    </row>
    <row r="176" spans="1:7" s="228" customFormat="1">
      <c r="A176" s="246" t="s">
        <v>179</v>
      </c>
      <c r="B176" s="263" t="s">
        <v>207</v>
      </c>
      <c r="C176" s="191">
        <f t="shared" si="0"/>
        <v>15826.470588235296</v>
      </c>
      <c r="D176" s="191">
        <v>17422.916666666664</v>
      </c>
      <c r="E176" s="196">
        <v>17228.458064516126</v>
      </c>
      <c r="F176" s="340">
        <v>16534.218229166665</v>
      </c>
      <c r="G176" s="231"/>
    </row>
    <row r="177" spans="1:7" s="228" customFormat="1">
      <c r="A177" s="246" t="s">
        <v>181</v>
      </c>
      <c r="B177" s="263" t="s">
        <v>208</v>
      </c>
      <c r="C177" s="191">
        <f t="shared" si="0"/>
        <v>10251.428571428571</v>
      </c>
      <c r="D177" s="191">
        <v>11460.416666666668</v>
      </c>
      <c r="E177" s="196">
        <v>11325.769559082893</v>
      </c>
      <c r="F177" s="340">
        <v>10733.726439393939</v>
      </c>
      <c r="G177" s="231"/>
    </row>
    <row r="178" spans="1:7" s="228" customFormat="1">
      <c r="A178" s="246" t="s">
        <v>183</v>
      </c>
      <c r="B178" s="263" t="s">
        <v>209</v>
      </c>
      <c r="C178" s="191">
        <f t="shared" si="0"/>
        <v>5468.5185185185182</v>
      </c>
      <c r="D178" s="191">
        <v>5869.6078431372553</v>
      </c>
      <c r="E178" s="196">
        <v>6191.125723905724</v>
      </c>
      <c r="F178" s="340">
        <v>6447.3029687499993</v>
      </c>
      <c r="G178" s="231"/>
    </row>
    <row r="179" spans="1:7" s="228" customFormat="1">
      <c r="A179" s="246" t="s">
        <v>185</v>
      </c>
      <c r="B179" s="263" t="s">
        <v>210</v>
      </c>
      <c r="C179" s="191">
        <f t="shared" si="0"/>
        <v>7906.6666666666661</v>
      </c>
      <c r="D179" s="191">
        <v>8059.1666666666661</v>
      </c>
      <c r="E179" s="196">
        <v>7690.6846111111108</v>
      </c>
      <c r="F179" s="340">
        <v>7673.786096491227</v>
      </c>
      <c r="G179" s="231"/>
    </row>
    <row r="180" spans="1:7" s="228" customFormat="1" ht="31.5">
      <c r="A180" s="246" t="s">
        <v>211</v>
      </c>
      <c r="B180" s="263" t="s">
        <v>212</v>
      </c>
      <c r="C180" s="191">
        <v>1880.8</v>
      </c>
      <c r="D180" s="191">
        <v>2507.3000000000002</v>
      </c>
      <c r="E180" s="196">
        <f>'[32]3 кв'!F180</f>
        <v>2899.2734530000007</v>
      </c>
      <c r="F180" s="340">
        <f>F173/F159/3*1000</f>
        <v>852.26653710640562</v>
      </c>
      <c r="G180" s="231"/>
    </row>
    <row r="181" spans="1:7" s="228" customFormat="1">
      <c r="A181" s="266"/>
      <c r="B181" s="267"/>
      <c r="C181" s="337"/>
      <c r="D181" s="337"/>
      <c r="E181" s="351"/>
      <c r="F181" s="342"/>
    </row>
    <row r="182" spans="1:7" s="228" customFormat="1">
      <c r="A182" s="268" t="s">
        <v>252</v>
      </c>
      <c r="B182" s="225"/>
      <c r="C182" s="335"/>
      <c r="D182" s="335"/>
      <c r="E182" s="431" t="s">
        <v>249</v>
      </c>
      <c r="F182" s="431"/>
    </row>
    <row r="183" spans="1:7">
      <c r="A183" s="269"/>
      <c r="C183" s="338"/>
      <c r="D183" s="338"/>
      <c r="E183" s="352"/>
      <c r="F183" s="363"/>
    </row>
    <row r="184" spans="1:7">
      <c r="A184" s="220"/>
      <c r="B184" s="216"/>
      <c r="C184" s="338"/>
      <c r="D184" s="338"/>
      <c r="E184" s="352"/>
      <c r="F184" s="363"/>
    </row>
    <row r="185" spans="1:7">
      <c r="A185" s="270"/>
      <c r="E185" s="352"/>
    </row>
    <row r="186" spans="1:7">
      <c r="A186" s="270"/>
      <c r="E186" s="352"/>
    </row>
    <row r="187" spans="1:7">
      <c r="A187" s="270"/>
      <c r="E187" s="352"/>
    </row>
    <row r="188" spans="1:7">
      <c r="A188" s="270"/>
    </row>
    <row r="189" spans="1:7">
      <c r="A189" s="270"/>
    </row>
    <row r="190" spans="1:7">
      <c r="A190" s="270"/>
    </row>
    <row r="191" spans="1:7">
      <c r="A191" s="270"/>
    </row>
    <row r="192" spans="1:7">
      <c r="A192" s="270"/>
    </row>
    <row r="193" spans="1:6" s="219" customFormat="1">
      <c r="A193" s="270"/>
      <c r="C193" s="111"/>
      <c r="D193" s="111"/>
      <c r="E193" s="111"/>
      <c r="F193" s="321"/>
    </row>
    <row r="194" spans="1:6" s="219" customFormat="1">
      <c r="A194" s="270"/>
      <c r="C194" s="111"/>
      <c r="D194" s="111"/>
      <c r="E194" s="111"/>
      <c r="F194" s="321"/>
    </row>
    <row r="195" spans="1:6" s="219" customFormat="1">
      <c r="A195" s="270"/>
      <c r="C195" s="111"/>
      <c r="D195" s="111"/>
      <c r="E195" s="111"/>
      <c r="F195" s="321"/>
    </row>
    <row r="196" spans="1:6" s="219" customFormat="1">
      <c r="A196" s="270"/>
      <c r="C196" s="111"/>
      <c r="D196" s="111"/>
      <c r="E196" s="111"/>
      <c r="F196" s="321"/>
    </row>
    <row r="197" spans="1:6" s="219" customFormat="1">
      <c r="A197" s="270"/>
      <c r="C197" s="111"/>
      <c r="D197" s="111"/>
      <c r="E197" s="111"/>
      <c r="F197" s="321"/>
    </row>
    <row r="198" spans="1:6" s="219" customFormat="1">
      <c r="A198" s="270"/>
      <c r="C198" s="111"/>
      <c r="D198" s="111"/>
      <c r="E198" s="111"/>
      <c r="F198" s="321"/>
    </row>
    <row r="199" spans="1:6" s="219" customFormat="1">
      <c r="A199" s="270"/>
      <c r="C199" s="111"/>
      <c r="D199" s="111"/>
      <c r="E199" s="111"/>
      <c r="F199" s="321"/>
    </row>
    <row r="200" spans="1:6" s="219" customFormat="1">
      <c r="A200" s="270"/>
      <c r="C200" s="111"/>
      <c r="D200" s="111"/>
      <c r="E200" s="111"/>
      <c r="F200" s="321"/>
    </row>
    <row r="201" spans="1:6" s="219" customFormat="1">
      <c r="A201" s="270"/>
      <c r="C201" s="111"/>
      <c r="D201" s="111"/>
      <c r="E201" s="111"/>
      <c r="F201" s="321"/>
    </row>
    <row r="202" spans="1:6" s="219" customFormat="1">
      <c r="A202" s="270"/>
      <c r="C202" s="111"/>
      <c r="D202" s="111"/>
      <c r="E202" s="111"/>
      <c r="F202" s="321"/>
    </row>
    <row r="203" spans="1:6" s="219" customFormat="1">
      <c r="A203" s="270"/>
      <c r="C203" s="111"/>
      <c r="D203" s="111"/>
      <c r="E203" s="111"/>
      <c r="F203" s="321"/>
    </row>
    <row r="204" spans="1:6" s="219" customFormat="1">
      <c r="A204" s="270"/>
      <c r="C204" s="111"/>
      <c r="D204" s="111"/>
      <c r="E204" s="111"/>
      <c r="F204" s="321"/>
    </row>
    <row r="205" spans="1:6" s="219" customFormat="1">
      <c r="A205" s="270"/>
      <c r="C205" s="111"/>
      <c r="D205" s="111"/>
      <c r="E205" s="111"/>
      <c r="F205" s="321"/>
    </row>
    <row r="206" spans="1:6" s="219" customFormat="1">
      <c r="A206" s="270"/>
      <c r="C206" s="111"/>
      <c r="D206" s="111"/>
      <c r="E206" s="111"/>
      <c r="F206" s="321"/>
    </row>
    <row r="207" spans="1:6" s="219" customFormat="1">
      <c r="A207" s="270"/>
      <c r="C207" s="111"/>
      <c r="D207" s="111"/>
      <c r="E207" s="111"/>
      <c r="F207" s="321"/>
    </row>
    <row r="208" spans="1:6" s="219" customFormat="1">
      <c r="A208" s="270"/>
      <c r="C208" s="111"/>
      <c r="D208" s="111"/>
      <c r="E208" s="111"/>
      <c r="F208" s="321"/>
    </row>
    <row r="209" spans="1:6" s="219" customFormat="1">
      <c r="A209" s="270"/>
      <c r="C209" s="111"/>
      <c r="D209" s="111"/>
      <c r="E209" s="111"/>
      <c r="F209" s="321"/>
    </row>
    <row r="210" spans="1:6" s="219" customFormat="1">
      <c r="A210" s="270"/>
      <c r="C210" s="111"/>
      <c r="D210" s="111"/>
      <c r="E210" s="111"/>
      <c r="F210" s="321"/>
    </row>
    <row r="211" spans="1:6" s="219" customFormat="1">
      <c r="A211" s="270"/>
      <c r="C211" s="111"/>
      <c r="D211" s="111"/>
      <c r="E211" s="111"/>
      <c r="F211" s="321"/>
    </row>
    <row r="212" spans="1:6" s="219" customFormat="1">
      <c r="A212" s="270"/>
      <c r="C212" s="111"/>
      <c r="D212" s="111"/>
      <c r="E212" s="111"/>
      <c r="F212" s="321"/>
    </row>
    <row r="213" spans="1:6" s="219" customFormat="1">
      <c r="A213" s="270"/>
      <c r="C213" s="111"/>
      <c r="D213" s="111"/>
      <c r="E213" s="111"/>
      <c r="F213" s="321"/>
    </row>
    <row r="214" spans="1:6" s="219" customFormat="1">
      <c r="A214" s="270"/>
      <c r="C214" s="111"/>
      <c r="D214" s="111"/>
      <c r="E214" s="111"/>
      <c r="F214" s="321"/>
    </row>
    <row r="215" spans="1:6" s="219" customFormat="1">
      <c r="A215" s="270"/>
      <c r="C215" s="111"/>
      <c r="D215" s="111"/>
      <c r="E215" s="111"/>
      <c r="F215" s="321"/>
    </row>
    <row r="216" spans="1:6" s="219" customFormat="1">
      <c r="A216" s="270"/>
      <c r="C216" s="111"/>
      <c r="D216" s="111"/>
      <c r="E216" s="111"/>
      <c r="F216" s="321"/>
    </row>
    <row r="217" spans="1:6" s="219" customFormat="1">
      <c r="A217" s="270"/>
      <c r="C217" s="111"/>
      <c r="D217" s="111"/>
      <c r="E217" s="111"/>
      <c r="F217" s="321"/>
    </row>
    <row r="218" spans="1:6" s="219" customFormat="1">
      <c r="A218" s="270"/>
      <c r="C218" s="111"/>
      <c r="D218" s="111"/>
      <c r="E218" s="111"/>
      <c r="F218" s="321"/>
    </row>
    <row r="219" spans="1:6" s="219" customFormat="1">
      <c r="A219" s="270"/>
      <c r="C219" s="111"/>
      <c r="D219" s="111"/>
      <c r="E219" s="111"/>
      <c r="F219" s="321"/>
    </row>
    <row r="220" spans="1:6" s="219" customFormat="1">
      <c r="A220" s="270"/>
      <c r="C220" s="111"/>
      <c r="D220" s="111"/>
      <c r="E220" s="111"/>
      <c r="F220" s="321"/>
    </row>
    <row r="221" spans="1:6" s="219" customFormat="1">
      <c r="A221" s="270"/>
      <c r="C221" s="111"/>
      <c r="D221" s="111"/>
      <c r="E221" s="111"/>
      <c r="F221" s="321"/>
    </row>
    <row r="222" spans="1:6" s="219" customFormat="1">
      <c r="A222" s="270"/>
      <c r="C222" s="111"/>
      <c r="D222" s="111"/>
      <c r="E222" s="111"/>
      <c r="F222" s="321"/>
    </row>
    <row r="223" spans="1:6" s="219" customFormat="1">
      <c r="A223" s="270"/>
      <c r="C223" s="111"/>
      <c r="D223" s="111"/>
      <c r="E223" s="111"/>
      <c r="F223" s="321"/>
    </row>
    <row r="224" spans="1:6" s="219" customFormat="1">
      <c r="A224" s="270"/>
      <c r="C224" s="111"/>
      <c r="D224" s="111"/>
      <c r="E224" s="111"/>
      <c r="F224" s="321"/>
    </row>
    <row r="225" spans="1:6" s="219" customFormat="1">
      <c r="A225" s="270"/>
      <c r="C225" s="111"/>
      <c r="D225" s="111"/>
      <c r="E225" s="111"/>
      <c r="F225" s="321"/>
    </row>
    <row r="226" spans="1:6" s="219" customFormat="1">
      <c r="A226" s="270"/>
      <c r="C226" s="111"/>
      <c r="D226" s="111"/>
      <c r="E226" s="111"/>
      <c r="F226" s="321"/>
    </row>
    <row r="227" spans="1:6" s="219" customFormat="1">
      <c r="A227" s="270"/>
      <c r="C227" s="111"/>
      <c r="D227" s="111"/>
      <c r="E227" s="111"/>
      <c r="F227" s="321"/>
    </row>
    <row r="228" spans="1:6" s="219" customFormat="1">
      <c r="A228" s="270"/>
      <c r="C228" s="111"/>
      <c r="D228" s="111"/>
      <c r="E228" s="111"/>
      <c r="F228" s="321"/>
    </row>
    <row r="229" spans="1:6" s="219" customFormat="1">
      <c r="A229" s="270"/>
      <c r="C229" s="111"/>
      <c r="D229" s="111"/>
      <c r="E229" s="111"/>
      <c r="F229" s="321"/>
    </row>
    <row r="230" spans="1:6" s="219" customFormat="1">
      <c r="A230" s="270"/>
      <c r="C230" s="111"/>
      <c r="D230" s="111"/>
      <c r="E230" s="111"/>
      <c r="F230" s="321"/>
    </row>
    <row r="231" spans="1:6" s="219" customFormat="1">
      <c r="A231" s="270"/>
      <c r="C231" s="111"/>
      <c r="D231" s="111"/>
      <c r="E231" s="111"/>
      <c r="F231" s="321"/>
    </row>
    <row r="232" spans="1:6" s="219" customFormat="1">
      <c r="A232" s="270"/>
      <c r="C232" s="111"/>
      <c r="D232" s="111"/>
      <c r="E232" s="111"/>
      <c r="F232" s="321"/>
    </row>
    <row r="233" spans="1:6" s="219" customFormat="1">
      <c r="A233" s="270"/>
      <c r="C233" s="111"/>
      <c r="D233" s="111"/>
      <c r="E233" s="111"/>
      <c r="F233" s="321"/>
    </row>
    <row r="234" spans="1:6" s="219" customFormat="1">
      <c r="A234" s="270"/>
      <c r="C234" s="111"/>
      <c r="D234" s="111"/>
      <c r="E234" s="111"/>
      <c r="F234" s="321"/>
    </row>
    <row r="235" spans="1:6" s="219" customFormat="1">
      <c r="A235" s="270"/>
      <c r="C235" s="111"/>
      <c r="D235" s="111"/>
      <c r="E235" s="111"/>
      <c r="F235" s="321"/>
    </row>
    <row r="236" spans="1:6" s="219" customFormat="1">
      <c r="A236" s="270"/>
      <c r="C236" s="111"/>
      <c r="D236" s="111"/>
      <c r="E236" s="111"/>
      <c r="F236" s="321"/>
    </row>
    <row r="237" spans="1:6" s="219" customFormat="1">
      <c r="A237" s="270"/>
      <c r="C237" s="111"/>
      <c r="D237" s="111"/>
      <c r="E237" s="111"/>
      <c r="F237" s="321"/>
    </row>
    <row r="238" spans="1:6" s="219" customFormat="1">
      <c r="A238" s="270"/>
      <c r="C238" s="111"/>
      <c r="D238" s="111"/>
      <c r="E238" s="111"/>
      <c r="F238" s="321"/>
    </row>
    <row r="239" spans="1:6" s="219" customFormat="1">
      <c r="A239" s="270"/>
      <c r="C239" s="111"/>
      <c r="D239" s="111"/>
      <c r="E239" s="111"/>
      <c r="F239" s="321"/>
    </row>
    <row r="240" spans="1:6" s="219" customFormat="1">
      <c r="A240" s="270"/>
      <c r="C240" s="111"/>
      <c r="D240" s="111"/>
      <c r="E240" s="111"/>
      <c r="F240" s="321"/>
    </row>
    <row r="241" spans="1:6" s="219" customFormat="1">
      <c r="A241" s="270"/>
      <c r="C241" s="111"/>
      <c r="D241" s="111"/>
      <c r="E241" s="111"/>
      <c r="F241" s="321"/>
    </row>
    <row r="242" spans="1:6" s="219" customFormat="1">
      <c r="A242" s="270"/>
      <c r="C242" s="111"/>
      <c r="D242" s="111"/>
      <c r="E242" s="111"/>
      <c r="F242" s="321"/>
    </row>
    <row r="243" spans="1:6" s="219" customFormat="1">
      <c r="A243" s="270"/>
      <c r="C243" s="111"/>
      <c r="D243" s="111"/>
      <c r="E243" s="111"/>
      <c r="F243" s="321"/>
    </row>
    <row r="244" spans="1:6" s="219" customFormat="1">
      <c r="A244" s="270"/>
      <c r="C244" s="111"/>
      <c r="D244" s="111"/>
      <c r="E244" s="111"/>
      <c r="F244" s="321"/>
    </row>
    <row r="245" spans="1:6" s="219" customFormat="1">
      <c r="A245" s="270"/>
      <c r="C245" s="111"/>
      <c r="D245" s="111"/>
      <c r="E245" s="111"/>
      <c r="F245" s="321"/>
    </row>
    <row r="246" spans="1:6" s="219" customFormat="1">
      <c r="A246" s="270"/>
      <c r="C246" s="111"/>
      <c r="D246" s="111"/>
      <c r="E246" s="111"/>
      <c r="F246" s="321"/>
    </row>
    <row r="247" spans="1:6" s="219" customFormat="1">
      <c r="A247" s="270"/>
      <c r="C247" s="111"/>
      <c r="D247" s="111"/>
      <c r="E247" s="111"/>
      <c r="F247" s="321"/>
    </row>
    <row r="248" spans="1:6" s="219" customFormat="1">
      <c r="A248" s="270"/>
      <c r="C248" s="111"/>
      <c r="D248" s="111"/>
      <c r="E248" s="111"/>
      <c r="F248" s="321"/>
    </row>
    <row r="249" spans="1:6" s="219" customFormat="1">
      <c r="A249" s="270"/>
      <c r="C249" s="111"/>
      <c r="D249" s="111"/>
      <c r="E249" s="111"/>
      <c r="F249" s="321"/>
    </row>
    <row r="250" spans="1:6" s="219" customFormat="1">
      <c r="A250" s="270"/>
      <c r="C250" s="111"/>
      <c r="D250" s="111"/>
      <c r="E250" s="111"/>
      <c r="F250" s="321"/>
    </row>
    <row r="251" spans="1:6" s="219" customFormat="1">
      <c r="A251" s="270"/>
      <c r="C251" s="111"/>
      <c r="D251" s="111"/>
      <c r="E251" s="111"/>
      <c r="F251" s="321"/>
    </row>
    <row r="252" spans="1:6" s="219" customFormat="1">
      <c r="A252" s="270"/>
      <c r="C252" s="111"/>
      <c r="D252" s="111"/>
      <c r="E252" s="111"/>
      <c r="F252" s="321"/>
    </row>
    <row r="253" spans="1:6" s="219" customFormat="1">
      <c r="A253" s="270"/>
      <c r="C253" s="111"/>
      <c r="D253" s="111"/>
      <c r="E253" s="111"/>
      <c r="F253" s="321"/>
    </row>
    <row r="254" spans="1:6" s="219" customFormat="1">
      <c r="A254" s="270"/>
      <c r="C254" s="111"/>
      <c r="D254" s="111"/>
      <c r="E254" s="111"/>
      <c r="F254" s="321"/>
    </row>
    <row r="255" spans="1:6" s="219" customFormat="1">
      <c r="A255" s="270"/>
      <c r="C255" s="111"/>
      <c r="D255" s="111"/>
      <c r="E255" s="111"/>
      <c r="F255" s="321"/>
    </row>
    <row r="256" spans="1:6" s="219" customFormat="1">
      <c r="A256" s="270"/>
      <c r="C256" s="111"/>
      <c r="D256" s="111"/>
      <c r="E256" s="111"/>
      <c r="F256" s="321"/>
    </row>
    <row r="257" spans="1:6" s="219" customFormat="1">
      <c r="A257" s="270"/>
      <c r="C257" s="111"/>
      <c r="D257" s="111"/>
      <c r="E257" s="111"/>
      <c r="F257" s="321"/>
    </row>
    <row r="258" spans="1:6" s="219" customFormat="1">
      <c r="A258" s="270"/>
      <c r="C258" s="111"/>
      <c r="D258" s="111"/>
      <c r="E258" s="111"/>
      <c r="F258" s="321"/>
    </row>
    <row r="259" spans="1:6" s="219" customFormat="1">
      <c r="A259" s="270"/>
      <c r="C259" s="111"/>
      <c r="D259" s="111"/>
      <c r="E259" s="111"/>
      <c r="F259" s="321"/>
    </row>
    <row r="260" spans="1:6" s="219" customFormat="1">
      <c r="A260" s="270"/>
      <c r="C260" s="111"/>
      <c r="D260" s="111"/>
      <c r="E260" s="111"/>
      <c r="F260" s="321"/>
    </row>
    <row r="261" spans="1:6" s="219" customFormat="1">
      <c r="A261" s="270"/>
      <c r="C261" s="111"/>
      <c r="D261" s="111"/>
      <c r="E261" s="111"/>
      <c r="F261" s="321"/>
    </row>
    <row r="262" spans="1:6" s="219" customFormat="1">
      <c r="A262" s="270"/>
      <c r="C262" s="111"/>
      <c r="D262" s="111"/>
      <c r="E262" s="111"/>
      <c r="F262" s="321"/>
    </row>
    <row r="263" spans="1:6" s="219" customFormat="1">
      <c r="A263" s="270"/>
      <c r="C263" s="111"/>
      <c r="D263" s="111"/>
      <c r="E263" s="111"/>
      <c r="F263" s="321"/>
    </row>
    <row r="264" spans="1:6" s="219" customFormat="1">
      <c r="A264" s="270"/>
      <c r="C264" s="111"/>
      <c r="D264" s="111"/>
      <c r="E264" s="111"/>
      <c r="F264" s="321"/>
    </row>
    <row r="265" spans="1:6" s="219" customFormat="1">
      <c r="A265" s="270"/>
      <c r="C265" s="111"/>
      <c r="D265" s="111"/>
      <c r="E265" s="111"/>
      <c r="F265" s="321"/>
    </row>
    <row r="266" spans="1:6" s="219" customFormat="1">
      <c r="A266" s="270"/>
      <c r="C266" s="111"/>
      <c r="D266" s="111"/>
      <c r="E266" s="111"/>
      <c r="F266" s="321"/>
    </row>
    <row r="267" spans="1:6" s="219" customFormat="1">
      <c r="A267" s="270"/>
      <c r="C267" s="111"/>
      <c r="D267" s="111"/>
      <c r="E267" s="111"/>
      <c r="F267" s="321"/>
    </row>
    <row r="268" spans="1:6" s="219" customFormat="1">
      <c r="A268" s="270"/>
      <c r="C268" s="111"/>
      <c r="D268" s="111"/>
      <c r="E268" s="111"/>
      <c r="F268" s="321"/>
    </row>
    <row r="269" spans="1:6" s="219" customFormat="1">
      <c r="A269" s="270"/>
      <c r="C269" s="111"/>
      <c r="D269" s="111"/>
      <c r="E269" s="111"/>
      <c r="F269" s="321"/>
    </row>
    <row r="270" spans="1:6" s="219" customFormat="1">
      <c r="A270" s="270"/>
      <c r="C270" s="111"/>
      <c r="D270" s="111"/>
      <c r="E270" s="111"/>
      <c r="F270" s="321"/>
    </row>
    <row r="271" spans="1:6" s="219" customFormat="1">
      <c r="A271" s="270"/>
      <c r="C271" s="111"/>
      <c r="D271" s="111"/>
      <c r="E271" s="111"/>
      <c r="F271" s="321"/>
    </row>
    <row r="272" spans="1:6" s="219" customFormat="1">
      <c r="A272" s="270"/>
      <c r="C272" s="111"/>
      <c r="D272" s="111"/>
      <c r="E272" s="111"/>
      <c r="F272" s="321"/>
    </row>
    <row r="273" spans="1:6" s="219" customFormat="1">
      <c r="A273" s="270"/>
      <c r="C273" s="111"/>
      <c r="D273" s="111"/>
      <c r="E273" s="111"/>
      <c r="F273" s="321"/>
    </row>
    <row r="274" spans="1:6" s="219" customFormat="1">
      <c r="A274" s="270"/>
      <c r="C274" s="111"/>
      <c r="D274" s="111"/>
      <c r="E274" s="111"/>
      <c r="F274" s="321"/>
    </row>
    <row r="275" spans="1:6" s="219" customFormat="1">
      <c r="A275" s="270"/>
      <c r="C275" s="111"/>
      <c r="D275" s="111"/>
      <c r="E275" s="111"/>
      <c r="F275" s="321"/>
    </row>
    <row r="276" spans="1:6" s="219" customFormat="1">
      <c r="A276" s="270"/>
      <c r="C276" s="111"/>
      <c r="D276" s="111"/>
      <c r="E276" s="111"/>
      <c r="F276" s="321"/>
    </row>
    <row r="277" spans="1:6" s="219" customFormat="1">
      <c r="A277" s="270"/>
      <c r="C277" s="111"/>
      <c r="D277" s="111"/>
      <c r="E277" s="111"/>
      <c r="F277" s="321"/>
    </row>
    <row r="278" spans="1:6" s="219" customFormat="1">
      <c r="A278" s="270"/>
      <c r="C278" s="111"/>
      <c r="D278" s="111"/>
      <c r="E278" s="111"/>
      <c r="F278" s="321"/>
    </row>
    <row r="279" spans="1:6" s="219" customFormat="1">
      <c r="A279" s="270"/>
      <c r="C279" s="111"/>
      <c r="D279" s="111"/>
      <c r="E279" s="111"/>
      <c r="F279" s="321"/>
    </row>
    <row r="280" spans="1:6" s="219" customFormat="1">
      <c r="A280" s="270"/>
      <c r="C280" s="111"/>
      <c r="D280" s="111"/>
      <c r="E280" s="111"/>
      <c r="F280" s="321"/>
    </row>
    <row r="281" spans="1:6" s="219" customFormat="1">
      <c r="A281" s="270"/>
      <c r="C281" s="111"/>
      <c r="D281" s="111"/>
      <c r="E281" s="111"/>
      <c r="F281" s="321"/>
    </row>
    <row r="282" spans="1:6" s="219" customFormat="1">
      <c r="A282" s="270"/>
      <c r="C282" s="111"/>
      <c r="D282" s="111"/>
      <c r="E282" s="111"/>
      <c r="F282" s="321"/>
    </row>
    <row r="283" spans="1:6" s="219" customFormat="1">
      <c r="A283" s="270"/>
      <c r="C283" s="111"/>
      <c r="D283" s="111"/>
      <c r="E283" s="111"/>
      <c r="F283" s="321"/>
    </row>
    <row r="284" spans="1:6" s="219" customFormat="1">
      <c r="A284" s="270"/>
      <c r="C284" s="111"/>
      <c r="D284" s="111"/>
      <c r="E284" s="111"/>
      <c r="F284" s="321"/>
    </row>
    <row r="285" spans="1:6" s="219" customFormat="1">
      <c r="A285" s="270"/>
      <c r="C285" s="111"/>
      <c r="D285" s="111"/>
      <c r="E285" s="111"/>
      <c r="F285" s="321"/>
    </row>
    <row r="286" spans="1:6" s="219" customFormat="1">
      <c r="A286" s="270"/>
      <c r="C286" s="111"/>
      <c r="D286" s="111"/>
      <c r="E286" s="111"/>
      <c r="F286" s="321"/>
    </row>
    <row r="287" spans="1:6" s="219" customFormat="1">
      <c r="A287" s="270"/>
      <c r="C287" s="111"/>
      <c r="D287" s="111"/>
      <c r="E287" s="111"/>
      <c r="F287" s="321"/>
    </row>
    <row r="288" spans="1:6" s="219" customFormat="1">
      <c r="A288" s="270"/>
      <c r="C288" s="111"/>
      <c r="D288" s="111"/>
      <c r="E288" s="111"/>
      <c r="F288" s="321"/>
    </row>
    <row r="289" spans="1:6" s="219" customFormat="1">
      <c r="A289" s="270"/>
      <c r="C289" s="111"/>
      <c r="D289" s="111"/>
      <c r="E289" s="111"/>
      <c r="F289" s="321"/>
    </row>
    <row r="290" spans="1:6" s="219" customFormat="1">
      <c r="A290" s="270"/>
      <c r="C290" s="111"/>
      <c r="D290" s="111"/>
      <c r="E290" s="111"/>
      <c r="F290" s="321"/>
    </row>
    <row r="291" spans="1:6" s="219" customFormat="1">
      <c r="A291" s="270"/>
      <c r="C291" s="111"/>
      <c r="D291" s="111"/>
      <c r="E291" s="111"/>
      <c r="F291" s="321"/>
    </row>
    <row r="292" spans="1:6" s="219" customFormat="1">
      <c r="A292" s="270"/>
      <c r="C292" s="111"/>
      <c r="D292" s="111"/>
      <c r="E292" s="111"/>
      <c r="F292" s="321"/>
    </row>
    <row r="293" spans="1:6" s="219" customFormat="1">
      <c r="A293" s="270"/>
      <c r="C293" s="111"/>
      <c r="D293" s="111"/>
      <c r="E293" s="111"/>
      <c r="F293" s="321"/>
    </row>
    <row r="294" spans="1:6" s="219" customFormat="1">
      <c r="A294" s="270"/>
      <c r="C294" s="111"/>
      <c r="D294" s="111"/>
      <c r="E294" s="111"/>
      <c r="F294" s="321"/>
    </row>
    <row r="295" spans="1:6" s="219" customFormat="1">
      <c r="A295" s="270"/>
      <c r="C295" s="111"/>
      <c r="D295" s="111"/>
      <c r="E295" s="111"/>
      <c r="F295" s="321"/>
    </row>
    <row r="296" spans="1:6" s="219" customFormat="1">
      <c r="A296" s="270"/>
      <c r="C296" s="111"/>
      <c r="D296" s="111"/>
      <c r="E296" s="111"/>
      <c r="F296" s="321"/>
    </row>
    <row r="297" spans="1:6" s="219" customFormat="1">
      <c r="A297" s="270"/>
      <c r="C297" s="111"/>
      <c r="D297" s="111"/>
      <c r="E297" s="111"/>
      <c r="F297" s="321"/>
    </row>
    <row r="298" spans="1:6" s="219" customFormat="1">
      <c r="A298" s="270"/>
      <c r="C298" s="111"/>
      <c r="D298" s="111"/>
      <c r="E298" s="111"/>
      <c r="F298" s="321"/>
    </row>
    <row r="299" spans="1:6" s="219" customFormat="1">
      <c r="A299" s="270"/>
      <c r="C299" s="111"/>
      <c r="D299" s="111"/>
      <c r="E299" s="111"/>
      <c r="F299" s="321"/>
    </row>
    <row r="300" spans="1:6" s="219" customFormat="1">
      <c r="A300" s="270"/>
      <c r="C300" s="111"/>
      <c r="D300" s="111"/>
      <c r="E300" s="111"/>
      <c r="F300" s="321"/>
    </row>
    <row r="301" spans="1:6" s="219" customFormat="1">
      <c r="A301" s="270"/>
      <c r="C301" s="111"/>
      <c r="D301" s="111"/>
      <c r="E301" s="111"/>
      <c r="F301" s="321"/>
    </row>
    <row r="302" spans="1:6" s="219" customFormat="1">
      <c r="A302" s="270"/>
      <c r="C302" s="111"/>
      <c r="D302" s="111"/>
      <c r="E302" s="111"/>
      <c r="F302" s="321"/>
    </row>
    <row r="303" spans="1:6" s="219" customFormat="1">
      <c r="A303" s="270"/>
      <c r="C303" s="111"/>
      <c r="D303" s="111"/>
      <c r="E303" s="111"/>
      <c r="F303" s="321"/>
    </row>
    <row r="304" spans="1:6" s="219" customFormat="1">
      <c r="A304" s="270"/>
      <c r="C304" s="111"/>
      <c r="D304" s="111"/>
      <c r="E304" s="111"/>
      <c r="F304" s="321"/>
    </row>
    <row r="305" spans="1:6" s="219" customFormat="1">
      <c r="A305" s="270"/>
      <c r="C305" s="111"/>
      <c r="D305" s="111"/>
      <c r="E305" s="111"/>
      <c r="F305" s="321"/>
    </row>
    <row r="306" spans="1:6" s="219" customFormat="1">
      <c r="A306" s="270"/>
      <c r="C306" s="111"/>
      <c r="D306" s="111"/>
      <c r="E306" s="111"/>
      <c r="F306" s="321"/>
    </row>
    <row r="307" spans="1:6" s="219" customFormat="1">
      <c r="A307" s="270"/>
      <c r="C307" s="111"/>
      <c r="D307" s="111"/>
      <c r="E307" s="111"/>
      <c r="F307" s="321"/>
    </row>
    <row r="308" spans="1:6" s="219" customFormat="1">
      <c r="A308" s="270"/>
      <c r="C308" s="111"/>
      <c r="D308" s="111"/>
      <c r="E308" s="111"/>
      <c r="F308" s="321"/>
    </row>
    <row r="309" spans="1:6" s="219" customFormat="1">
      <c r="A309" s="270"/>
      <c r="C309" s="111"/>
      <c r="D309" s="111"/>
      <c r="E309" s="111"/>
      <c r="F309" s="321"/>
    </row>
    <row r="310" spans="1:6" s="219" customFormat="1">
      <c r="A310" s="270"/>
      <c r="C310" s="111"/>
      <c r="D310" s="111"/>
      <c r="E310" s="111"/>
      <c r="F310" s="321"/>
    </row>
    <row r="311" spans="1:6" s="219" customFormat="1">
      <c r="A311" s="270"/>
      <c r="C311" s="111"/>
      <c r="D311" s="111"/>
      <c r="E311" s="111"/>
      <c r="F311" s="321"/>
    </row>
    <row r="312" spans="1:6" s="219" customFormat="1">
      <c r="A312" s="270"/>
      <c r="C312" s="111"/>
      <c r="D312" s="111"/>
      <c r="E312" s="111"/>
      <c r="F312" s="321"/>
    </row>
    <row r="313" spans="1:6" s="219" customFormat="1">
      <c r="A313" s="270"/>
      <c r="C313" s="111"/>
      <c r="D313" s="111"/>
      <c r="E313" s="111"/>
      <c r="F313" s="321"/>
    </row>
    <row r="314" spans="1:6" s="219" customFormat="1">
      <c r="A314" s="270"/>
      <c r="C314" s="111"/>
      <c r="D314" s="111"/>
      <c r="E314" s="111"/>
      <c r="F314" s="321"/>
    </row>
    <row r="315" spans="1:6" s="219" customFormat="1">
      <c r="A315" s="270"/>
      <c r="C315" s="111"/>
      <c r="D315" s="111"/>
      <c r="E315" s="111"/>
      <c r="F315" s="321"/>
    </row>
    <row r="316" spans="1:6" s="219" customFormat="1">
      <c r="A316" s="270"/>
      <c r="C316" s="111"/>
      <c r="D316" s="111"/>
      <c r="E316" s="111"/>
      <c r="F316" s="321"/>
    </row>
    <row r="317" spans="1:6" s="219" customFormat="1">
      <c r="A317" s="270"/>
      <c r="C317" s="111"/>
      <c r="D317" s="111"/>
      <c r="E317" s="111"/>
      <c r="F317" s="321"/>
    </row>
    <row r="318" spans="1:6" s="219" customFormat="1">
      <c r="A318" s="270"/>
      <c r="C318" s="111"/>
      <c r="D318" s="111"/>
      <c r="E318" s="111"/>
      <c r="F318" s="321"/>
    </row>
    <row r="319" spans="1:6" s="219" customFormat="1">
      <c r="A319" s="270"/>
      <c r="C319" s="111"/>
      <c r="D319" s="111"/>
      <c r="E319" s="111"/>
      <c r="F319" s="321"/>
    </row>
    <row r="320" spans="1:6" s="219" customFormat="1">
      <c r="A320" s="270"/>
      <c r="C320" s="111"/>
      <c r="D320" s="111"/>
      <c r="E320" s="111"/>
      <c r="F320" s="321"/>
    </row>
    <row r="321" spans="1:6" s="219" customFormat="1">
      <c r="A321" s="270"/>
      <c r="C321" s="111"/>
      <c r="D321" s="111"/>
      <c r="E321" s="111"/>
      <c r="F321" s="321"/>
    </row>
    <row r="322" spans="1:6" s="219" customFormat="1">
      <c r="A322" s="270"/>
      <c r="C322" s="111"/>
      <c r="D322" s="111"/>
      <c r="E322" s="111"/>
      <c r="F322" s="321"/>
    </row>
    <row r="323" spans="1:6" s="219" customFormat="1">
      <c r="A323" s="270"/>
      <c r="C323" s="111"/>
      <c r="D323" s="111"/>
      <c r="E323" s="111"/>
      <c r="F323" s="321"/>
    </row>
    <row r="324" spans="1:6" s="219" customFormat="1">
      <c r="A324" s="270"/>
      <c r="C324" s="111"/>
      <c r="D324" s="111"/>
      <c r="E324" s="111"/>
      <c r="F324" s="321"/>
    </row>
    <row r="325" spans="1:6" s="219" customFormat="1">
      <c r="A325" s="270"/>
      <c r="C325" s="111"/>
      <c r="D325" s="111"/>
      <c r="E325" s="111"/>
      <c r="F325" s="321"/>
    </row>
    <row r="326" spans="1:6" s="219" customFormat="1">
      <c r="A326" s="270"/>
      <c r="C326" s="111"/>
      <c r="D326" s="111"/>
      <c r="E326" s="111"/>
      <c r="F326" s="321"/>
    </row>
    <row r="327" spans="1:6" s="219" customFormat="1">
      <c r="A327" s="270"/>
      <c r="C327" s="111"/>
      <c r="D327" s="111"/>
      <c r="E327" s="111"/>
      <c r="F327" s="321"/>
    </row>
    <row r="328" spans="1:6" s="219" customFormat="1">
      <c r="A328" s="270"/>
      <c r="C328" s="111"/>
      <c r="D328" s="111"/>
      <c r="E328" s="111"/>
      <c r="F328" s="321"/>
    </row>
    <row r="329" spans="1:6" s="219" customFormat="1">
      <c r="A329" s="270"/>
      <c r="C329" s="111"/>
      <c r="D329" s="111"/>
      <c r="E329" s="111"/>
      <c r="F329" s="321"/>
    </row>
    <row r="330" spans="1:6" s="219" customFormat="1">
      <c r="A330" s="270"/>
      <c r="C330" s="111"/>
      <c r="D330" s="111"/>
      <c r="E330" s="111"/>
      <c r="F330" s="321"/>
    </row>
    <row r="331" spans="1:6" s="219" customFormat="1">
      <c r="A331" s="270"/>
      <c r="C331" s="111"/>
      <c r="D331" s="111"/>
      <c r="E331" s="111"/>
      <c r="F331" s="321"/>
    </row>
    <row r="332" spans="1:6" s="219" customFormat="1">
      <c r="A332" s="270"/>
      <c r="C332" s="111"/>
      <c r="D332" s="111"/>
      <c r="E332" s="111"/>
      <c r="F332" s="321"/>
    </row>
    <row r="333" spans="1:6" s="219" customFormat="1">
      <c r="A333" s="270"/>
      <c r="C333" s="111"/>
      <c r="D333" s="111"/>
      <c r="E333" s="111"/>
      <c r="F333" s="321"/>
    </row>
    <row r="334" spans="1:6" s="219" customFormat="1">
      <c r="A334" s="270"/>
      <c r="C334" s="111"/>
      <c r="D334" s="111"/>
      <c r="E334" s="111"/>
      <c r="F334" s="321"/>
    </row>
    <row r="335" spans="1:6" s="219" customFormat="1">
      <c r="A335" s="270"/>
      <c r="C335" s="111"/>
      <c r="D335" s="111"/>
      <c r="E335" s="111"/>
      <c r="F335" s="321"/>
    </row>
    <row r="336" spans="1:6" s="219" customFormat="1">
      <c r="A336" s="270"/>
      <c r="C336" s="111"/>
      <c r="D336" s="111"/>
      <c r="E336" s="111"/>
      <c r="F336" s="321"/>
    </row>
    <row r="337" spans="1:6" s="219" customFormat="1">
      <c r="A337" s="270"/>
      <c r="C337" s="111"/>
      <c r="D337" s="111"/>
      <c r="E337" s="111"/>
      <c r="F337" s="321"/>
    </row>
    <row r="338" spans="1:6" s="219" customFormat="1">
      <c r="A338" s="270"/>
      <c r="C338" s="111"/>
      <c r="D338" s="111"/>
      <c r="E338" s="111"/>
      <c r="F338" s="321"/>
    </row>
    <row r="339" spans="1:6" s="219" customFormat="1">
      <c r="A339" s="270"/>
      <c r="C339" s="111"/>
      <c r="D339" s="111"/>
      <c r="E339" s="111"/>
      <c r="F339" s="321"/>
    </row>
    <row r="340" spans="1:6" s="219" customFormat="1">
      <c r="A340" s="270"/>
      <c r="C340" s="111"/>
      <c r="D340" s="111"/>
      <c r="E340" s="111"/>
      <c r="F340" s="321"/>
    </row>
    <row r="341" spans="1:6" s="219" customFormat="1">
      <c r="A341" s="270"/>
      <c r="C341" s="111"/>
      <c r="D341" s="111"/>
      <c r="E341" s="111"/>
      <c r="F341" s="321"/>
    </row>
    <row r="342" spans="1:6" s="219" customFormat="1">
      <c r="A342" s="270"/>
      <c r="C342" s="111"/>
      <c r="D342" s="111"/>
      <c r="E342" s="111"/>
      <c r="F342" s="321"/>
    </row>
    <row r="343" spans="1:6" s="219" customFormat="1">
      <c r="A343" s="271"/>
      <c r="C343" s="111"/>
      <c r="D343" s="111"/>
      <c r="E343" s="111"/>
      <c r="F343" s="321"/>
    </row>
    <row r="344" spans="1:6" s="219" customFormat="1">
      <c r="A344" s="271"/>
      <c r="C344" s="111"/>
      <c r="D344" s="111"/>
      <c r="E344" s="111"/>
      <c r="F344" s="321"/>
    </row>
    <row r="345" spans="1:6" s="219" customFormat="1">
      <c r="A345" s="271"/>
      <c r="C345" s="111"/>
      <c r="D345" s="111"/>
      <c r="E345" s="111"/>
      <c r="F345" s="321"/>
    </row>
    <row r="346" spans="1:6" s="219" customFormat="1">
      <c r="A346" s="271"/>
      <c r="C346" s="111"/>
      <c r="D346" s="111"/>
      <c r="E346" s="111"/>
      <c r="F346" s="321"/>
    </row>
    <row r="347" spans="1:6" s="219" customFormat="1">
      <c r="A347" s="271"/>
      <c r="C347" s="111"/>
      <c r="D347" s="111"/>
      <c r="E347" s="111"/>
      <c r="F347" s="321"/>
    </row>
    <row r="348" spans="1:6" s="219" customFormat="1">
      <c r="A348" s="271"/>
      <c r="C348" s="111"/>
      <c r="D348" s="111"/>
      <c r="E348" s="111"/>
      <c r="F348" s="321"/>
    </row>
    <row r="349" spans="1:6" s="219" customFormat="1">
      <c r="A349" s="271"/>
      <c r="C349" s="111"/>
      <c r="D349" s="111"/>
      <c r="E349" s="111"/>
      <c r="F349" s="321"/>
    </row>
    <row r="350" spans="1:6" s="219" customFormat="1">
      <c r="A350" s="271"/>
      <c r="C350" s="111"/>
      <c r="D350" s="111"/>
      <c r="E350" s="111"/>
      <c r="F350" s="321"/>
    </row>
    <row r="351" spans="1:6" s="219" customFormat="1">
      <c r="A351" s="271"/>
      <c r="C351" s="111"/>
      <c r="D351" s="111"/>
      <c r="E351" s="111"/>
      <c r="F351" s="321"/>
    </row>
    <row r="352" spans="1:6" s="219" customFormat="1">
      <c r="A352" s="271"/>
      <c r="C352" s="111"/>
      <c r="D352" s="111"/>
      <c r="E352" s="111"/>
      <c r="F352" s="321"/>
    </row>
    <row r="353" spans="1:6" s="219" customFormat="1">
      <c r="A353" s="271"/>
      <c r="C353" s="111"/>
      <c r="D353" s="111"/>
      <c r="E353" s="111"/>
      <c r="F353" s="321"/>
    </row>
    <row r="354" spans="1:6" s="219" customFormat="1">
      <c r="A354" s="271"/>
      <c r="C354" s="111"/>
      <c r="D354" s="111"/>
      <c r="E354" s="111"/>
      <c r="F354" s="321"/>
    </row>
    <row r="355" spans="1:6" s="219" customFormat="1">
      <c r="A355" s="271"/>
      <c r="C355" s="111"/>
      <c r="D355" s="111"/>
      <c r="E355" s="111"/>
      <c r="F355" s="321"/>
    </row>
    <row r="356" spans="1:6" s="219" customFormat="1">
      <c r="A356" s="271"/>
      <c r="C356" s="111"/>
      <c r="D356" s="111"/>
      <c r="E356" s="111"/>
      <c r="F356" s="321"/>
    </row>
    <row r="357" spans="1:6" s="219" customFormat="1">
      <c r="A357" s="271"/>
      <c r="C357" s="111"/>
      <c r="D357" s="111"/>
      <c r="E357" s="111"/>
      <c r="F357" s="321"/>
    </row>
    <row r="358" spans="1:6" s="219" customFormat="1">
      <c r="A358" s="271"/>
      <c r="C358" s="111"/>
      <c r="D358" s="111"/>
      <c r="E358" s="111"/>
      <c r="F358" s="321"/>
    </row>
    <row r="359" spans="1:6" s="219" customFormat="1">
      <c r="A359" s="271"/>
      <c r="C359" s="111"/>
      <c r="D359" s="111"/>
      <c r="E359" s="111"/>
      <c r="F359" s="321"/>
    </row>
    <row r="360" spans="1:6" s="219" customFormat="1">
      <c r="A360" s="271"/>
      <c r="C360" s="111"/>
      <c r="D360" s="111"/>
      <c r="E360" s="111"/>
      <c r="F360" s="321"/>
    </row>
    <row r="361" spans="1:6" s="219" customFormat="1">
      <c r="A361" s="271"/>
      <c r="C361" s="111"/>
      <c r="D361" s="111"/>
      <c r="E361" s="111"/>
      <c r="F361" s="321"/>
    </row>
    <row r="362" spans="1:6" s="219" customFormat="1">
      <c r="A362" s="271"/>
      <c r="C362" s="111"/>
      <c r="D362" s="111"/>
      <c r="E362" s="111"/>
      <c r="F362" s="321"/>
    </row>
    <row r="363" spans="1:6" s="219" customFormat="1">
      <c r="A363" s="271"/>
      <c r="C363" s="111"/>
      <c r="D363" s="111"/>
      <c r="E363" s="111"/>
      <c r="F363" s="321"/>
    </row>
    <row r="364" spans="1:6" s="219" customFormat="1">
      <c r="A364" s="271"/>
      <c r="C364" s="111"/>
      <c r="D364" s="111"/>
      <c r="E364" s="111"/>
      <c r="F364" s="321"/>
    </row>
    <row r="365" spans="1:6" s="219" customFormat="1">
      <c r="A365" s="271"/>
      <c r="C365" s="111"/>
      <c r="D365" s="111"/>
      <c r="E365" s="111"/>
      <c r="F365" s="321"/>
    </row>
    <row r="366" spans="1:6" s="219" customFormat="1">
      <c r="A366" s="271"/>
      <c r="C366" s="111"/>
      <c r="D366" s="111"/>
      <c r="E366" s="111"/>
      <c r="F366" s="321"/>
    </row>
    <row r="367" spans="1:6" s="219" customFormat="1">
      <c r="A367" s="271"/>
      <c r="C367" s="111"/>
      <c r="D367" s="111"/>
      <c r="E367" s="111"/>
      <c r="F367" s="321"/>
    </row>
    <row r="368" spans="1:6" s="219" customFormat="1">
      <c r="A368" s="271"/>
      <c r="C368" s="111"/>
      <c r="D368" s="111"/>
      <c r="E368" s="111"/>
      <c r="F368" s="321"/>
    </row>
    <row r="369" spans="1:6" s="219" customFormat="1">
      <c r="A369" s="271"/>
      <c r="C369" s="111"/>
      <c r="D369" s="111"/>
      <c r="E369" s="111"/>
      <c r="F369" s="321"/>
    </row>
    <row r="370" spans="1:6" s="219" customFormat="1">
      <c r="A370" s="271"/>
      <c r="C370" s="111"/>
      <c r="D370" s="111"/>
      <c r="E370" s="111"/>
      <c r="F370" s="321"/>
    </row>
    <row r="371" spans="1:6" s="219" customFormat="1">
      <c r="A371" s="271"/>
      <c r="C371" s="111"/>
      <c r="D371" s="111"/>
      <c r="E371" s="111"/>
      <c r="F371" s="321"/>
    </row>
    <row r="372" spans="1:6" s="219" customFormat="1">
      <c r="A372" s="271"/>
      <c r="C372" s="111"/>
      <c r="D372" s="111"/>
      <c r="E372" s="111"/>
      <c r="F372" s="321"/>
    </row>
    <row r="373" spans="1:6" s="219" customFormat="1">
      <c r="A373" s="271"/>
      <c r="C373" s="111"/>
      <c r="D373" s="111"/>
      <c r="E373" s="111"/>
      <c r="F373" s="321"/>
    </row>
    <row r="374" spans="1:6" s="219" customFormat="1">
      <c r="A374" s="271"/>
      <c r="C374" s="111"/>
      <c r="D374" s="111"/>
      <c r="E374" s="111"/>
      <c r="F374" s="321"/>
    </row>
    <row r="375" spans="1:6" s="219" customFormat="1">
      <c r="A375" s="271"/>
      <c r="C375" s="111"/>
      <c r="D375" s="111"/>
      <c r="E375" s="111"/>
      <c r="F375" s="321"/>
    </row>
    <row r="376" spans="1:6" s="219" customFormat="1">
      <c r="A376" s="271"/>
      <c r="C376" s="111"/>
      <c r="D376" s="111"/>
      <c r="E376" s="111"/>
      <c r="F376" s="321"/>
    </row>
    <row r="377" spans="1:6" s="219" customFormat="1">
      <c r="A377" s="271"/>
      <c r="C377" s="111"/>
      <c r="D377" s="111"/>
      <c r="E377" s="111"/>
      <c r="F377" s="321"/>
    </row>
    <row r="378" spans="1:6" s="219" customFormat="1">
      <c r="A378" s="271"/>
      <c r="C378" s="111"/>
      <c r="D378" s="111"/>
      <c r="E378" s="111"/>
      <c r="F378" s="321"/>
    </row>
    <row r="379" spans="1:6" s="219" customFormat="1">
      <c r="A379" s="271"/>
      <c r="C379" s="111"/>
      <c r="D379" s="111"/>
      <c r="E379" s="111"/>
      <c r="F379" s="321"/>
    </row>
    <row r="380" spans="1:6" s="219" customFormat="1">
      <c r="A380" s="271"/>
      <c r="C380" s="111"/>
      <c r="D380" s="111"/>
      <c r="E380" s="111"/>
      <c r="F380" s="321"/>
    </row>
    <row r="381" spans="1:6" s="219" customFormat="1">
      <c r="A381" s="271"/>
      <c r="C381" s="111"/>
      <c r="D381" s="111"/>
      <c r="E381" s="111"/>
      <c r="F381" s="321"/>
    </row>
    <row r="382" spans="1:6" s="219" customFormat="1">
      <c r="A382" s="271"/>
      <c r="C382" s="111"/>
      <c r="D382" s="111"/>
      <c r="E382" s="111"/>
      <c r="F382" s="321"/>
    </row>
    <row r="383" spans="1:6" s="219" customFormat="1">
      <c r="A383" s="271"/>
      <c r="C383" s="111"/>
      <c r="D383" s="111"/>
      <c r="E383" s="111"/>
      <c r="F383" s="321"/>
    </row>
    <row r="384" spans="1:6" s="219" customFormat="1">
      <c r="A384" s="271"/>
      <c r="C384" s="111"/>
      <c r="D384" s="111"/>
      <c r="E384" s="111"/>
      <c r="F384" s="321"/>
    </row>
    <row r="385" spans="1:6" s="219" customFormat="1">
      <c r="A385" s="271"/>
      <c r="C385" s="111"/>
      <c r="D385" s="111"/>
      <c r="E385" s="111"/>
      <c r="F385" s="321"/>
    </row>
    <row r="386" spans="1:6" s="219" customFormat="1">
      <c r="A386" s="271"/>
      <c r="C386" s="111"/>
      <c r="D386" s="111"/>
      <c r="E386" s="111"/>
      <c r="F386" s="321"/>
    </row>
    <row r="387" spans="1:6" s="219" customFormat="1">
      <c r="A387" s="271"/>
      <c r="C387" s="111"/>
      <c r="D387" s="111"/>
      <c r="E387" s="111"/>
      <c r="F387" s="321"/>
    </row>
    <row r="388" spans="1:6" s="219" customFormat="1">
      <c r="A388" s="271"/>
      <c r="C388" s="111"/>
      <c r="D388" s="111"/>
      <c r="E388" s="111"/>
      <c r="F388" s="321"/>
    </row>
    <row r="389" spans="1:6" s="219" customFormat="1">
      <c r="A389" s="271"/>
      <c r="C389" s="111"/>
      <c r="D389" s="111"/>
      <c r="E389" s="111"/>
      <c r="F389" s="321"/>
    </row>
    <row r="390" spans="1:6" s="219" customFormat="1">
      <c r="A390" s="271"/>
      <c r="C390" s="111"/>
      <c r="D390" s="111"/>
      <c r="E390" s="111"/>
      <c r="F390" s="321"/>
    </row>
    <row r="391" spans="1:6" s="219" customFormat="1">
      <c r="A391" s="271"/>
      <c r="C391" s="111"/>
      <c r="D391" s="111"/>
      <c r="E391" s="111"/>
      <c r="F391" s="321"/>
    </row>
    <row r="392" spans="1:6" s="219" customFormat="1">
      <c r="A392" s="271"/>
      <c r="C392" s="111"/>
      <c r="D392" s="111"/>
      <c r="E392" s="111"/>
      <c r="F392" s="321"/>
    </row>
    <row r="393" spans="1:6" s="219" customFormat="1">
      <c r="A393" s="271"/>
      <c r="C393" s="111"/>
      <c r="D393" s="111"/>
      <c r="E393" s="111"/>
      <c r="F393" s="321"/>
    </row>
    <row r="394" spans="1:6" s="219" customFormat="1">
      <c r="A394" s="271"/>
      <c r="C394" s="111"/>
      <c r="D394" s="111"/>
      <c r="E394" s="111"/>
      <c r="F394" s="321"/>
    </row>
    <row r="395" spans="1:6" s="219" customFormat="1">
      <c r="A395" s="271"/>
      <c r="C395" s="111"/>
      <c r="D395" s="111"/>
      <c r="E395" s="111"/>
      <c r="F395" s="321"/>
    </row>
    <row r="396" spans="1:6" s="219" customFormat="1">
      <c r="A396" s="271"/>
      <c r="C396" s="111"/>
      <c r="D396" s="111"/>
      <c r="E396" s="111"/>
      <c r="F396" s="321"/>
    </row>
    <row r="397" spans="1:6" s="219" customFormat="1">
      <c r="A397" s="271"/>
      <c r="C397" s="111"/>
      <c r="D397" s="111"/>
      <c r="E397" s="111"/>
      <c r="F397" s="321"/>
    </row>
    <row r="398" spans="1:6" s="219" customFormat="1">
      <c r="A398" s="271"/>
      <c r="C398" s="111"/>
      <c r="D398" s="111"/>
      <c r="E398" s="111"/>
      <c r="F398" s="321"/>
    </row>
    <row r="399" spans="1:6" s="219" customFormat="1">
      <c r="A399" s="271"/>
      <c r="C399" s="111"/>
      <c r="D399" s="111"/>
      <c r="E399" s="111"/>
      <c r="F399" s="321"/>
    </row>
    <row r="400" spans="1:6" s="219" customFormat="1">
      <c r="A400" s="271"/>
      <c r="C400" s="111"/>
      <c r="D400" s="111"/>
      <c r="E400" s="111"/>
      <c r="F400" s="321"/>
    </row>
    <row r="401" spans="1:6" s="219" customFormat="1">
      <c r="A401" s="271"/>
      <c r="C401" s="111"/>
      <c r="D401" s="111"/>
      <c r="E401" s="111"/>
      <c r="F401" s="321"/>
    </row>
    <row r="402" spans="1:6" s="219" customFormat="1">
      <c r="A402" s="271"/>
      <c r="C402" s="111"/>
      <c r="D402" s="111"/>
      <c r="E402" s="111"/>
      <c r="F402" s="321"/>
    </row>
    <row r="403" spans="1:6" s="219" customFormat="1">
      <c r="A403" s="271"/>
      <c r="C403" s="111"/>
      <c r="D403" s="111"/>
      <c r="E403" s="111"/>
      <c r="F403" s="321"/>
    </row>
    <row r="404" spans="1:6" s="219" customFormat="1">
      <c r="A404" s="271"/>
      <c r="C404" s="111"/>
      <c r="D404" s="111"/>
      <c r="E404" s="111"/>
      <c r="F404" s="321"/>
    </row>
    <row r="405" spans="1:6" s="219" customFormat="1">
      <c r="A405" s="271"/>
      <c r="C405" s="111"/>
      <c r="D405" s="111"/>
      <c r="E405" s="111"/>
      <c r="F405" s="321"/>
    </row>
    <row r="406" spans="1:6" s="219" customFormat="1">
      <c r="A406" s="271"/>
      <c r="C406" s="111"/>
      <c r="D406" s="111"/>
      <c r="E406" s="111"/>
      <c r="F406" s="321"/>
    </row>
    <row r="407" spans="1:6" s="219" customFormat="1">
      <c r="A407" s="271"/>
      <c r="C407" s="111"/>
      <c r="D407" s="111"/>
      <c r="E407" s="111"/>
      <c r="F407" s="321"/>
    </row>
    <row r="408" spans="1:6" s="219" customFormat="1">
      <c r="A408" s="271"/>
      <c r="C408" s="111"/>
      <c r="D408" s="111"/>
      <c r="E408" s="111"/>
      <c r="F408" s="321"/>
    </row>
    <row r="409" spans="1:6" s="219" customFormat="1">
      <c r="A409" s="271"/>
      <c r="C409" s="111"/>
      <c r="D409" s="111"/>
      <c r="E409" s="111"/>
      <c r="F409" s="321"/>
    </row>
    <row r="410" spans="1:6" s="219" customFormat="1">
      <c r="A410" s="271"/>
      <c r="C410" s="111"/>
      <c r="D410" s="111"/>
      <c r="E410" s="111"/>
      <c r="F410" s="321"/>
    </row>
    <row r="411" spans="1:6" s="219" customFormat="1">
      <c r="A411" s="271"/>
      <c r="C411" s="111"/>
      <c r="D411" s="111"/>
      <c r="E411" s="111"/>
      <c r="F411" s="321"/>
    </row>
    <row r="412" spans="1:6" s="219" customFormat="1">
      <c r="A412" s="271"/>
      <c r="C412" s="111"/>
      <c r="D412" s="111"/>
      <c r="E412" s="111"/>
      <c r="F412" s="321"/>
    </row>
    <row r="413" spans="1:6" s="219" customFormat="1">
      <c r="A413" s="271"/>
      <c r="C413" s="111"/>
      <c r="D413" s="111"/>
      <c r="E413" s="111"/>
      <c r="F413" s="321"/>
    </row>
    <row r="414" spans="1:6" s="219" customFormat="1">
      <c r="A414" s="271"/>
      <c r="C414" s="111"/>
      <c r="D414" s="111"/>
      <c r="E414" s="111"/>
      <c r="F414" s="321"/>
    </row>
    <row r="415" spans="1:6" s="219" customFormat="1">
      <c r="A415" s="271"/>
      <c r="C415" s="111"/>
      <c r="D415" s="111"/>
      <c r="E415" s="111"/>
      <c r="F415" s="321"/>
    </row>
    <row r="416" spans="1:6" s="219" customFormat="1">
      <c r="A416" s="271"/>
      <c r="C416" s="111"/>
      <c r="D416" s="111"/>
      <c r="E416" s="111"/>
      <c r="F416" s="321"/>
    </row>
    <row r="417" spans="1:6" s="219" customFormat="1">
      <c r="A417" s="271"/>
      <c r="C417" s="111"/>
      <c r="D417" s="111"/>
      <c r="E417" s="111"/>
      <c r="F417" s="321"/>
    </row>
    <row r="418" spans="1:6" s="219" customFormat="1">
      <c r="A418" s="271"/>
      <c r="C418" s="111"/>
      <c r="D418" s="111"/>
      <c r="E418" s="111"/>
      <c r="F418" s="321"/>
    </row>
    <row r="419" spans="1:6" s="219" customFormat="1">
      <c r="A419" s="271"/>
      <c r="C419" s="111"/>
      <c r="D419" s="111"/>
      <c r="E419" s="111"/>
      <c r="F419" s="321"/>
    </row>
    <row r="420" spans="1:6" s="219" customFormat="1">
      <c r="A420" s="271"/>
      <c r="C420" s="111"/>
      <c r="D420" s="111"/>
      <c r="E420" s="111"/>
      <c r="F420" s="321"/>
    </row>
    <row r="421" spans="1:6" s="219" customFormat="1">
      <c r="A421" s="271"/>
      <c r="C421" s="111"/>
      <c r="D421" s="111"/>
      <c r="E421" s="111"/>
      <c r="F421" s="321"/>
    </row>
    <row r="422" spans="1:6" s="219" customFormat="1">
      <c r="A422" s="271"/>
      <c r="C422" s="111"/>
      <c r="D422" s="111"/>
      <c r="E422" s="111"/>
      <c r="F422" s="321"/>
    </row>
    <row r="423" spans="1:6" s="219" customFormat="1">
      <c r="A423" s="271"/>
      <c r="C423" s="111"/>
      <c r="D423" s="111"/>
      <c r="E423" s="111"/>
      <c r="F423" s="321"/>
    </row>
    <row r="424" spans="1:6" s="219" customFormat="1">
      <c r="A424" s="271"/>
      <c r="C424" s="111"/>
      <c r="D424" s="111"/>
      <c r="E424" s="111"/>
      <c r="F424" s="321"/>
    </row>
    <row r="425" spans="1:6" s="219" customFormat="1">
      <c r="A425" s="271"/>
      <c r="C425" s="111"/>
      <c r="D425" s="111"/>
      <c r="E425" s="111"/>
      <c r="F425" s="321"/>
    </row>
    <row r="426" spans="1:6" s="219" customFormat="1">
      <c r="A426" s="271"/>
      <c r="C426" s="111"/>
      <c r="D426" s="111"/>
      <c r="E426" s="111"/>
      <c r="F426" s="321"/>
    </row>
    <row r="427" spans="1:6" s="219" customFormat="1">
      <c r="A427" s="271"/>
      <c r="C427" s="111"/>
      <c r="D427" s="111"/>
      <c r="E427" s="111"/>
      <c r="F427" s="321"/>
    </row>
    <row r="428" spans="1:6" s="219" customFormat="1">
      <c r="A428" s="271"/>
      <c r="C428" s="111"/>
      <c r="D428" s="111"/>
      <c r="E428" s="111"/>
      <c r="F428" s="321"/>
    </row>
    <row r="429" spans="1:6" s="219" customFormat="1">
      <c r="A429" s="271"/>
      <c r="C429" s="111"/>
      <c r="D429" s="111"/>
      <c r="E429" s="111"/>
      <c r="F429" s="321"/>
    </row>
    <row r="430" spans="1:6" s="219" customFormat="1">
      <c r="A430" s="271"/>
      <c r="C430" s="111"/>
      <c r="D430" s="111"/>
      <c r="E430" s="111"/>
      <c r="F430" s="321"/>
    </row>
    <row r="431" spans="1:6" s="219" customFormat="1">
      <c r="A431" s="271"/>
      <c r="C431" s="111"/>
      <c r="D431" s="111"/>
      <c r="E431" s="111"/>
      <c r="F431" s="321"/>
    </row>
    <row r="432" spans="1:6" s="219" customFormat="1">
      <c r="A432" s="271"/>
      <c r="C432" s="111"/>
      <c r="D432" s="111"/>
      <c r="E432" s="111"/>
      <c r="F432" s="321"/>
    </row>
    <row r="433" spans="1:6" s="219" customFormat="1">
      <c r="A433" s="271"/>
      <c r="C433" s="111"/>
      <c r="D433" s="111"/>
      <c r="E433" s="111"/>
      <c r="F433" s="321"/>
    </row>
    <row r="434" spans="1:6" s="219" customFormat="1">
      <c r="A434" s="271"/>
      <c r="C434" s="111"/>
      <c r="D434" s="111"/>
      <c r="E434" s="111"/>
      <c r="F434" s="321"/>
    </row>
    <row r="435" spans="1:6" s="219" customFormat="1">
      <c r="A435" s="271"/>
      <c r="C435" s="111"/>
      <c r="D435" s="111"/>
      <c r="E435" s="111"/>
      <c r="F435" s="321"/>
    </row>
    <row r="436" spans="1:6" s="219" customFormat="1">
      <c r="A436" s="271"/>
      <c r="C436" s="111"/>
      <c r="D436" s="111"/>
      <c r="E436" s="111"/>
      <c r="F436" s="321"/>
    </row>
    <row r="437" spans="1:6" s="219" customFormat="1">
      <c r="A437" s="271"/>
      <c r="C437" s="111"/>
      <c r="D437" s="111"/>
      <c r="E437" s="111"/>
      <c r="F437" s="321"/>
    </row>
    <row r="438" spans="1:6" s="219" customFormat="1">
      <c r="A438" s="271"/>
      <c r="C438" s="111"/>
      <c r="D438" s="111"/>
      <c r="E438" s="111"/>
      <c r="F438" s="321"/>
    </row>
    <row r="439" spans="1:6" s="219" customFormat="1">
      <c r="A439" s="271"/>
      <c r="C439" s="111"/>
      <c r="D439" s="111"/>
      <c r="E439" s="111"/>
      <c r="F439" s="321"/>
    </row>
    <row r="440" spans="1:6" s="219" customFormat="1">
      <c r="A440" s="271"/>
      <c r="C440" s="111"/>
      <c r="D440" s="111"/>
      <c r="E440" s="111"/>
      <c r="F440" s="321"/>
    </row>
    <row r="441" spans="1:6" s="219" customFormat="1">
      <c r="A441" s="271"/>
      <c r="C441" s="111"/>
      <c r="D441" s="111"/>
      <c r="E441" s="111"/>
      <c r="F441" s="321"/>
    </row>
    <row r="442" spans="1:6" s="219" customFormat="1">
      <c r="A442" s="271"/>
      <c r="C442" s="111"/>
      <c r="D442" s="111"/>
      <c r="E442" s="111"/>
      <c r="F442" s="321"/>
    </row>
    <row r="443" spans="1:6" s="219" customFormat="1">
      <c r="A443" s="271"/>
      <c r="C443" s="111"/>
      <c r="D443" s="111"/>
      <c r="E443" s="111"/>
      <c r="F443" s="321"/>
    </row>
    <row r="444" spans="1:6" s="219" customFormat="1">
      <c r="A444" s="271"/>
      <c r="C444" s="111"/>
      <c r="D444" s="111"/>
      <c r="E444" s="111"/>
      <c r="F444" s="321"/>
    </row>
    <row r="445" spans="1:6" s="219" customFormat="1">
      <c r="A445" s="271"/>
      <c r="C445" s="111"/>
      <c r="D445" s="111"/>
      <c r="E445" s="111"/>
      <c r="F445" s="321"/>
    </row>
    <row r="446" spans="1:6" s="219" customFormat="1">
      <c r="A446" s="271"/>
      <c r="C446" s="111"/>
      <c r="D446" s="111"/>
      <c r="E446" s="111"/>
      <c r="F446" s="321"/>
    </row>
    <row r="447" spans="1:6" s="219" customFormat="1">
      <c r="A447" s="271"/>
      <c r="C447" s="111"/>
      <c r="D447" s="111"/>
      <c r="E447" s="111"/>
      <c r="F447" s="321"/>
    </row>
    <row r="448" spans="1:6" s="219" customFormat="1">
      <c r="A448" s="271"/>
      <c r="C448" s="111"/>
      <c r="D448" s="111"/>
      <c r="E448" s="111"/>
      <c r="F448" s="321"/>
    </row>
    <row r="449" spans="1:6" s="219" customFormat="1">
      <c r="A449" s="271"/>
      <c r="C449" s="111"/>
      <c r="D449" s="111"/>
      <c r="E449" s="111"/>
      <c r="F449" s="321"/>
    </row>
    <row r="450" spans="1:6" s="219" customFormat="1">
      <c r="A450" s="271"/>
      <c r="C450" s="111"/>
      <c r="D450" s="111"/>
      <c r="E450" s="111"/>
      <c r="F450" s="321"/>
    </row>
    <row r="451" spans="1:6" s="219" customFormat="1">
      <c r="A451" s="271"/>
      <c r="C451" s="111"/>
      <c r="D451" s="111"/>
      <c r="E451" s="111"/>
      <c r="F451" s="321"/>
    </row>
    <row r="452" spans="1:6" s="219" customFormat="1">
      <c r="A452" s="271"/>
      <c r="C452" s="111"/>
      <c r="D452" s="111"/>
      <c r="E452" s="111"/>
      <c r="F452" s="321"/>
    </row>
    <row r="453" spans="1:6" s="219" customFormat="1">
      <c r="A453" s="271"/>
      <c r="C453" s="111"/>
      <c r="D453" s="111"/>
      <c r="E453" s="111"/>
      <c r="F453" s="321"/>
    </row>
    <row r="454" spans="1:6" s="219" customFormat="1">
      <c r="A454" s="271"/>
      <c r="C454" s="111"/>
      <c r="D454" s="111"/>
      <c r="E454" s="111"/>
      <c r="F454" s="321"/>
    </row>
    <row r="455" spans="1:6" s="219" customFormat="1">
      <c r="A455" s="271"/>
      <c r="C455" s="111"/>
      <c r="D455" s="111"/>
      <c r="E455" s="111"/>
      <c r="F455" s="321"/>
    </row>
    <row r="456" spans="1:6" s="219" customFormat="1">
      <c r="A456" s="271"/>
      <c r="C456" s="111"/>
      <c r="D456" s="111"/>
      <c r="E456" s="111"/>
      <c r="F456" s="321"/>
    </row>
    <row r="457" spans="1:6" s="219" customFormat="1">
      <c r="A457" s="271"/>
      <c r="C457" s="111"/>
      <c r="D457" s="111"/>
      <c r="E457" s="111"/>
      <c r="F457" s="321"/>
    </row>
    <row r="458" spans="1:6" s="219" customFormat="1">
      <c r="A458" s="271"/>
      <c r="C458" s="111"/>
      <c r="D458" s="111"/>
      <c r="E458" s="111"/>
      <c r="F458" s="321"/>
    </row>
    <row r="459" spans="1:6" s="219" customFormat="1">
      <c r="A459" s="271"/>
      <c r="C459" s="111"/>
      <c r="D459" s="111"/>
      <c r="E459" s="111"/>
      <c r="F459" s="321"/>
    </row>
    <row r="460" spans="1:6" s="219" customFormat="1">
      <c r="A460" s="271"/>
      <c r="C460" s="111"/>
      <c r="D460" s="111"/>
      <c r="E460" s="111"/>
      <c r="F460" s="321"/>
    </row>
    <row r="461" spans="1:6" s="219" customFormat="1">
      <c r="A461" s="271"/>
      <c r="C461" s="111"/>
      <c r="D461" s="111"/>
      <c r="E461" s="111"/>
      <c r="F461" s="321"/>
    </row>
    <row r="462" spans="1:6" s="219" customFormat="1">
      <c r="A462" s="271"/>
      <c r="C462" s="111"/>
      <c r="D462" s="111"/>
      <c r="E462" s="111"/>
      <c r="F462" s="321"/>
    </row>
    <row r="463" spans="1:6" s="219" customFormat="1">
      <c r="A463" s="271"/>
      <c r="C463" s="111"/>
      <c r="D463" s="111"/>
      <c r="E463" s="111"/>
      <c r="F463" s="321"/>
    </row>
    <row r="464" spans="1:6" s="219" customFormat="1">
      <c r="A464" s="271"/>
      <c r="C464" s="111"/>
      <c r="D464" s="111"/>
      <c r="E464" s="111"/>
      <c r="F464" s="321"/>
    </row>
    <row r="465" spans="1:6" s="219" customFormat="1">
      <c r="A465" s="271"/>
      <c r="C465" s="111"/>
      <c r="D465" s="111"/>
      <c r="E465" s="111"/>
      <c r="F465" s="321"/>
    </row>
    <row r="466" spans="1:6" s="219" customFormat="1">
      <c r="A466" s="271"/>
      <c r="C466" s="111"/>
      <c r="D466" s="111"/>
      <c r="E466" s="111"/>
      <c r="F466" s="321"/>
    </row>
    <row r="467" spans="1:6" s="219" customFormat="1">
      <c r="A467" s="271"/>
      <c r="C467" s="111"/>
      <c r="D467" s="111"/>
      <c r="E467" s="111"/>
      <c r="F467" s="321"/>
    </row>
    <row r="468" spans="1:6" s="219" customFormat="1">
      <c r="A468" s="271"/>
      <c r="C468" s="111"/>
      <c r="D468" s="111"/>
      <c r="E468" s="111"/>
      <c r="F468" s="321"/>
    </row>
    <row r="469" spans="1:6" s="219" customFormat="1">
      <c r="A469" s="271"/>
      <c r="C469" s="111"/>
      <c r="D469" s="111"/>
      <c r="E469" s="111"/>
      <c r="F469" s="321"/>
    </row>
    <row r="470" spans="1:6" s="219" customFormat="1">
      <c r="A470" s="271"/>
      <c r="C470" s="111"/>
      <c r="D470" s="111"/>
      <c r="E470" s="111"/>
      <c r="F470" s="321"/>
    </row>
    <row r="471" spans="1:6" s="219" customFormat="1">
      <c r="A471" s="271"/>
      <c r="C471" s="111"/>
      <c r="D471" s="111"/>
      <c r="E471" s="111"/>
      <c r="F471" s="321"/>
    </row>
    <row r="472" spans="1:6" s="219" customFormat="1">
      <c r="A472" s="271"/>
      <c r="C472" s="111"/>
      <c r="D472" s="111"/>
      <c r="E472" s="111"/>
      <c r="F472" s="321"/>
    </row>
    <row r="473" spans="1:6" s="219" customFormat="1">
      <c r="A473" s="271"/>
      <c r="C473" s="111"/>
      <c r="D473" s="111"/>
      <c r="E473" s="111"/>
      <c r="F473" s="321"/>
    </row>
    <row r="474" spans="1:6" s="219" customFormat="1">
      <c r="A474" s="271"/>
      <c r="C474" s="111"/>
      <c r="D474" s="111"/>
      <c r="E474" s="111"/>
      <c r="F474" s="321"/>
    </row>
    <row r="475" spans="1:6" s="219" customFormat="1">
      <c r="A475" s="271"/>
      <c r="C475" s="111"/>
      <c r="D475" s="111"/>
      <c r="E475" s="111"/>
      <c r="F475" s="321"/>
    </row>
    <row r="476" spans="1:6" s="219" customFormat="1">
      <c r="A476" s="271"/>
      <c r="C476" s="111"/>
      <c r="D476" s="111"/>
      <c r="E476" s="111"/>
      <c r="F476" s="321"/>
    </row>
    <row r="477" spans="1:6" s="219" customFormat="1">
      <c r="A477" s="271"/>
      <c r="C477" s="111"/>
      <c r="D477" s="111"/>
      <c r="E477" s="111"/>
      <c r="F477" s="321"/>
    </row>
    <row r="478" spans="1:6" s="219" customFormat="1">
      <c r="A478" s="271"/>
      <c r="C478" s="111"/>
      <c r="D478" s="111"/>
      <c r="E478" s="111"/>
      <c r="F478" s="321"/>
    </row>
    <row r="479" spans="1:6" s="219" customFormat="1">
      <c r="A479" s="271"/>
      <c r="C479" s="111"/>
      <c r="D479" s="111"/>
      <c r="E479" s="111"/>
      <c r="F479" s="321"/>
    </row>
    <row r="480" spans="1:6" s="219" customFormat="1">
      <c r="A480" s="271"/>
      <c r="C480" s="111"/>
      <c r="D480" s="111"/>
      <c r="E480" s="111"/>
      <c r="F480" s="321"/>
    </row>
    <row r="481" spans="1:6" s="219" customFormat="1">
      <c r="A481" s="271"/>
      <c r="C481" s="111"/>
      <c r="D481" s="111"/>
      <c r="E481" s="111"/>
      <c r="F481" s="321"/>
    </row>
    <row r="482" spans="1:6" s="219" customFormat="1">
      <c r="A482" s="271"/>
      <c r="C482" s="111"/>
      <c r="D482" s="111"/>
      <c r="E482" s="111"/>
      <c r="F482" s="321"/>
    </row>
    <row r="483" spans="1:6" s="219" customFormat="1">
      <c r="A483" s="271"/>
      <c r="C483" s="111"/>
      <c r="D483" s="111"/>
      <c r="E483" s="111"/>
      <c r="F483" s="321"/>
    </row>
    <row r="484" spans="1:6" s="219" customFormat="1">
      <c r="A484" s="271"/>
      <c r="C484" s="111"/>
      <c r="D484" s="111"/>
      <c r="E484" s="111"/>
      <c r="F484" s="321"/>
    </row>
    <row r="485" spans="1:6" s="219" customFormat="1">
      <c r="A485" s="271"/>
      <c r="C485" s="111"/>
      <c r="D485" s="111"/>
      <c r="E485" s="111"/>
      <c r="F485" s="321"/>
    </row>
    <row r="486" spans="1:6" s="219" customFormat="1">
      <c r="A486" s="271"/>
      <c r="C486" s="111"/>
      <c r="D486" s="111"/>
      <c r="E486" s="111"/>
      <c r="F486" s="321"/>
    </row>
    <row r="487" spans="1:6" s="219" customFormat="1">
      <c r="A487" s="271"/>
      <c r="C487" s="111"/>
      <c r="D487" s="111"/>
      <c r="E487" s="111"/>
      <c r="F487" s="321"/>
    </row>
    <row r="488" spans="1:6" s="219" customFormat="1">
      <c r="A488" s="271"/>
      <c r="C488" s="111"/>
      <c r="D488" s="111"/>
      <c r="E488" s="111"/>
      <c r="F488" s="321"/>
    </row>
    <row r="489" spans="1:6" s="219" customFormat="1">
      <c r="A489" s="271"/>
      <c r="C489" s="111"/>
      <c r="D489" s="111"/>
      <c r="E489" s="111"/>
      <c r="F489" s="321"/>
    </row>
    <row r="490" spans="1:6" s="219" customFormat="1">
      <c r="A490" s="271"/>
      <c r="C490" s="111"/>
      <c r="D490" s="111"/>
      <c r="E490" s="111"/>
      <c r="F490" s="321"/>
    </row>
    <row r="491" spans="1:6" s="219" customFormat="1">
      <c r="A491" s="271"/>
      <c r="C491" s="111"/>
      <c r="D491" s="111"/>
      <c r="E491" s="111"/>
      <c r="F491" s="321"/>
    </row>
    <row r="492" spans="1:6" s="219" customFormat="1">
      <c r="A492" s="271"/>
      <c r="C492" s="111"/>
      <c r="D492" s="111"/>
      <c r="E492" s="111"/>
      <c r="F492" s="321"/>
    </row>
    <row r="493" spans="1:6" s="219" customFormat="1">
      <c r="A493" s="271"/>
      <c r="C493" s="111"/>
      <c r="D493" s="111"/>
      <c r="E493" s="111"/>
      <c r="F493" s="321"/>
    </row>
    <row r="494" spans="1:6" s="219" customFormat="1">
      <c r="A494" s="271"/>
      <c r="C494" s="111"/>
      <c r="D494" s="111"/>
      <c r="E494" s="111"/>
      <c r="F494" s="321"/>
    </row>
    <row r="495" spans="1:6" s="219" customFormat="1">
      <c r="A495" s="271"/>
      <c r="C495" s="111"/>
      <c r="D495" s="111"/>
      <c r="E495" s="111"/>
      <c r="F495" s="321"/>
    </row>
    <row r="496" spans="1:6" s="219" customFormat="1">
      <c r="A496" s="271"/>
      <c r="C496" s="111"/>
      <c r="D496" s="111"/>
      <c r="E496" s="111"/>
      <c r="F496" s="321"/>
    </row>
    <row r="497" spans="1:6" s="219" customFormat="1">
      <c r="A497" s="271"/>
      <c r="C497" s="111"/>
      <c r="D497" s="111"/>
      <c r="E497" s="111"/>
      <c r="F497" s="321"/>
    </row>
    <row r="498" spans="1:6" s="219" customFormat="1">
      <c r="A498" s="271"/>
      <c r="C498" s="111"/>
      <c r="D498" s="111"/>
      <c r="E498" s="111"/>
      <c r="F498" s="321"/>
    </row>
    <row r="499" spans="1:6" s="219" customFormat="1">
      <c r="A499" s="271"/>
      <c r="C499" s="111"/>
      <c r="D499" s="111"/>
      <c r="E499" s="111"/>
      <c r="F499" s="321"/>
    </row>
    <row r="500" spans="1:6" s="219" customFormat="1">
      <c r="A500" s="271"/>
      <c r="C500" s="111"/>
      <c r="D500" s="111"/>
      <c r="E500" s="111"/>
      <c r="F500" s="321"/>
    </row>
    <row r="501" spans="1:6" s="219" customFormat="1">
      <c r="A501" s="271"/>
      <c r="C501" s="111"/>
      <c r="D501" s="111"/>
      <c r="E501" s="111"/>
      <c r="F501" s="321"/>
    </row>
    <row r="502" spans="1:6" s="219" customFormat="1">
      <c r="A502" s="271"/>
      <c r="C502" s="111"/>
      <c r="D502" s="111"/>
      <c r="E502" s="111"/>
      <c r="F502" s="321"/>
    </row>
    <row r="503" spans="1:6" s="219" customFormat="1">
      <c r="A503" s="271"/>
      <c r="C503" s="111"/>
      <c r="D503" s="111"/>
      <c r="E503" s="111"/>
      <c r="F503" s="321"/>
    </row>
    <row r="504" spans="1:6" s="219" customFormat="1">
      <c r="A504" s="271"/>
      <c r="C504" s="111"/>
      <c r="D504" s="111"/>
      <c r="E504" s="111"/>
      <c r="F504" s="321"/>
    </row>
    <row r="505" spans="1:6" s="219" customFormat="1">
      <c r="A505" s="271"/>
      <c r="C505" s="111"/>
      <c r="D505" s="111"/>
      <c r="E505" s="111"/>
      <c r="F505" s="321"/>
    </row>
    <row r="506" spans="1:6" s="219" customFormat="1">
      <c r="A506" s="271"/>
      <c r="C506" s="111"/>
      <c r="D506" s="111"/>
      <c r="E506" s="111"/>
      <c r="F506" s="321"/>
    </row>
    <row r="507" spans="1:6" s="219" customFormat="1">
      <c r="A507" s="271"/>
      <c r="C507" s="111"/>
      <c r="D507" s="111"/>
      <c r="E507" s="111"/>
      <c r="F507" s="321"/>
    </row>
    <row r="508" spans="1:6" s="219" customFormat="1">
      <c r="A508" s="271"/>
      <c r="C508" s="111"/>
      <c r="D508" s="111"/>
      <c r="E508" s="111"/>
      <c r="F508" s="321"/>
    </row>
  </sheetData>
  <mergeCells count="30">
    <mergeCell ref="B11:E11"/>
    <mergeCell ref="F2:F6"/>
    <mergeCell ref="B7:E7"/>
    <mergeCell ref="B8:F8"/>
    <mergeCell ref="B9:E9"/>
    <mergeCell ref="B10:E10"/>
    <mergeCell ref="A24:F24"/>
    <mergeCell ref="B12:E12"/>
    <mergeCell ref="B13:E13"/>
    <mergeCell ref="B14:E14"/>
    <mergeCell ref="B15:E15"/>
    <mergeCell ref="B16:E16"/>
    <mergeCell ref="B17:E17"/>
    <mergeCell ref="B18:E18"/>
    <mergeCell ref="B19:E19"/>
    <mergeCell ref="A21:F21"/>
    <mergeCell ref="A22:F22"/>
    <mergeCell ref="A23:F23"/>
    <mergeCell ref="E182:F182"/>
    <mergeCell ref="A26:F26"/>
    <mergeCell ref="A28:A29"/>
    <mergeCell ref="B28:B29"/>
    <mergeCell ref="C28:F28"/>
    <mergeCell ref="A31:F31"/>
    <mergeCell ref="A93:F93"/>
    <mergeCell ref="A108:F108"/>
    <mergeCell ref="A121:F121"/>
    <mergeCell ref="A127:F127"/>
    <mergeCell ref="A142:F142"/>
    <mergeCell ref="A151:F151"/>
  </mergeCells>
  <pageMargins left="0.7" right="0.7" top="0.75" bottom="0.75" header="0.3" footer="0.3"/>
  <pageSetup paperSize="9" orientation="portrait"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8"/>
  <sheetViews>
    <sheetView topLeftCell="A64" zoomScale="130" zoomScaleNormal="130" workbookViewId="0">
      <selection activeCell="D72" sqref="D72"/>
    </sheetView>
  </sheetViews>
  <sheetFormatPr defaultRowHeight="15.75" outlineLevelRow="1"/>
  <cols>
    <col min="1" max="1" width="68.28515625" style="104" customWidth="1"/>
    <col min="2" max="2" width="9.140625" style="108" customWidth="1"/>
    <col min="3" max="3" width="11" style="108" customWidth="1"/>
    <col min="4" max="4" width="11.85546875" style="108" customWidth="1"/>
    <col min="5" max="5" width="12.140625" style="108" customWidth="1"/>
    <col min="6" max="6" width="10.85546875" style="108" customWidth="1"/>
    <col min="7" max="7" width="14.140625" style="108" customWidth="1"/>
    <col min="8" max="8" width="13.28515625" style="108" customWidth="1"/>
    <col min="9" max="9" width="17.7109375" style="104" customWidth="1"/>
    <col min="10" max="10" width="15.85546875" style="104" customWidth="1"/>
    <col min="11" max="11" width="13" style="104" customWidth="1"/>
    <col min="12" max="16384" width="9.140625" style="104"/>
  </cols>
  <sheetData>
    <row r="1" spans="1:12" ht="18.75" customHeight="1" outlineLevel="1">
      <c r="B1" s="105"/>
      <c r="C1" s="105"/>
      <c r="D1" s="105"/>
      <c r="E1" s="104"/>
      <c r="F1" s="142" t="s">
        <v>0</v>
      </c>
      <c r="G1" s="142"/>
      <c r="H1" s="142"/>
      <c r="J1" s="106"/>
      <c r="K1" s="106"/>
      <c r="L1" s="106"/>
    </row>
    <row r="2" spans="1:12" ht="18.75" customHeight="1" outlineLevel="1">
      <c r="A2" s="107"/>
      <c r="E2" s="104"/>
      <c r="F2" s="401" t="s">
        <v>1</v>
      </c>
      <c r="G2" s="401"/>
      <c r="H2" s="401"/>
      <c r="I2" s="109"/>
      <c r="J2" s="106"/>
      <c r="K2" s="106"/>
      <c r="L2" s="106"/>
    </row>
    <row r="3" spans="1:12" ht="18.75" customHeight="1" outlineLevel="1">
      <c r="A3" s="108"/>
      <c r="E3" s="110"/>
      <c r="F3" s="401"/>
      <c r="G3" s="401"/>
      <c r="H3" s="401"/>
      <c r="I3" s="109"/>
      <c r="J3" s="106"/>
      <c r="K3" s="106"/>
      <c r="L3" s="106"/>
    </row>
    <row r="4" spans="1:12" ht="18.75" customHeight="1" outlineLevel="1">
      <c r="A4" s="108"/>
      <c r="E4" s="110"/>
      <c r="F4" s="401"/>
      <c r="G4" s="401"/>
      <c r="H4" s="401"/>
      <c r="I4" s="109"/>
      <c r="J4" s="106"/>
      <c r="K4" s="106"/>
      <c r="L4" s="106"/>
    </row>
    <row r="5" spans="1:12" ht="18.75" customHeight="1" outlineLevel="1">
      <c r="A5" s="108"/>
      <c r="E5" s="110"/>
      <c r="F5" s="401"/>
      <c r="G5" s="401"/>
      <c r="H5" s="401"/>
      <c r="I5" s="109"/>
      <c r="J5" s="106"/>
      <c r="K5" s="106"/>
      <c r="L5" s="106"/>
    </row>
    <row r="6" spans="1:12" ht="36.75" customHeight="1" outlineLevel="1">
      <c r="B6" s="111"/>
      <c r="C6" s="111"/>
      <c r="D6" s="111"/>
      <c r="F6" s="402"/>
      <c r="G6" s="402"/>
      <c r="H6" s="402"/>
    </row>
    <row r="7" spans="1:12" outlineLevel="1">
      <c r="A7" s="112" t="s">
        <v>2</v>
      </c>
      <c r="B7" s="403">
        <f>'1 кв'!B7:E7</f>
        <v>2024</v>
      </c>
      <c r="C7" s="403"/>
      <c r="D7" s="403"/>
      <c r="E7" s="403"/>
      <c r="F7" s="113"/>
      <c r="G7" s="114"/>
      <c r="H7" s="115" t="s">
        <v>3</v>
      </c>
    </row>
    <row r="8" spans="1:12" ht="46.5" customHeight="1" outlineLevel="1">
      <c r="A8" s="116" t="s">
        <v>4</v>
      </c>
      <c r="B8" s="404" t="s">
        <v>5</v>
      </c>
      <c r="C8" s="404"/>
      <c r="D8" s="404"/>
      <c r="E8" s="404"/>
      <c r="F8" s="443"/>
      <c r="G8" s="117" t="s">
        <v>6</v>
      </c>
      <c r="H8" s="118" t="s">
        <v>7</v>
      </c>
    </row>
    <row r="9" spans="1:12" ht="15.75" customHeight="1" outlineLevel="1">
      <c r="A9" s="119" t="s">
        <v>8</v>
      </c>
      <c r="B9" s="403" t="s">
        <v>9</v>
      </c>
      <c r="C9" s="403"/>
      <c r="D9" s="403"/>
      <c r="E9" s="403"/>
      <c r="F9" s="113"/>
      <c r="G9" s="117" t="s">
        <v>10</v>
      </c>
      <c r="H9" s="115">
        <v>150</v>
      </c>
    </row>
    <row r="10" spans="1:12" outlineLevel="1">
      <c r="A10" s="119" t="s">
        <v>11</v>
      </c>
      <c r="B10" s="403"/>
      <c r="C10" s="403"/>
      <c r="D10" s="403"/>
      <c r="E10" s="403"/>
      <c r="F10" s="113"/>
      <c r="G10" s="117" t="s">
        <v>12</v>
      </c>
      <c r="H10" s="115">
        <v>5922386401</v>
      </c>
    </row>
    <row r="11" spans="1:12" ht="15.75" customHeight="1" outlineLevel="1">
      <c r="A11" s="120" t="s">
        <v>253</v>
      </c>
      <c r="B11" s="403" t="s">
        <v>14</v>
      </c>
      <c r="C11" s="403"/>
      <c r="D11" s="403"/>
      <c r="E11" s="403"/>
      <c r="F11" s="121"/>
      <c r="G11" s="117" t="s">
        <v>15</v>
      </c>
      <c r="H11" s="115"/>
    </row>
    <row r="12" spans="1:12" outlineLevel="1">
      <c r="A12" s="120" t="s">
        <v>16</v>
      </c>
      <c r="B12" s="403"/>
      <c r="C12" s="403"/>
      <c r="D12" s="403"/>
      <c r="E12" s="403"/>
      <c r="F12" s="121"/>
      <c r="G12" s="117" t="s">
        <v>17</v>
      </c>
      <c r="H12" s="115"/>
    </row>
    <row r="13" spans="1:12" outlineLevel="1">
      <c r="A13" s="120" t="s">
        <v>18</v>
      </c>
      <c r="B13" s="403"/>
      <c r="C13" s="403"/>
      <c r="D13" s="403"/>
      <c r="E13" s="403"/>
      <c r="F13" s="121"/>
      <c r="G13" s="117" t="s">
        <v>19</v>
      </c>
      <c r="H13" s="115">
        <v>86.23</v>
      </c>
    </row>
    <row r="14" spans="1:12" ht="15.75" customHeight="1" outlineLevel="1">
      <c r="A14" s="120" t="s">
        <v>20</v>
      </c>
      <c r="B14" s="403"/>
      <c r="C14" s="403"/>
      <c r="D14" s="403"/>
      <c r="E14" s="403"/>
      <c r="F14" s="403" t="s">
        <v>21</v>
      </c>
      <c r="G14" s="405"/>
      <c r="H14" s="122"/>
    </row>
    <row r="15" spans="1:12" ht="15.75" customHeight="1" outlineLevel="1">
      <c r="A15" s="120" t="s">
        <v>22</v>
      </c>
      <c r="B15" s="403" t="s">
        <v>23</v>
      </c>
      <c r="C15" s="403"/>
      <c r="D15" s="403"/>
      <c r="E15" s="403"/>
      <c r="F15" s="403" t="s">
        <v>24</v>
      </c>
      <c r="G15" s="405"/>
      <c r="H15" s="122"/>
    </row>
    <row r="16" spans="1:12" outlineLevel="1">
      <c r="A16" s="120" t="s">
        <v>25</v>
      </c>
      <c r="B16" s="406">
        <f>F152</f>
        <v>108</v>
      </c>
      <c r="C16" s="406"/>
      <c r="D16" s="406"/>
      <c r="E16" s="406"/>
      <c r="F16" s="123"/>
      <c r="G16" s="123"/>
      <c r="H16" s="123"/>
    </row>
    <row r="17" spans="1:16" ht="15.75" customHeight="1" outlineLevel="1">
      <c r="A17" s="119" t="s">
        <v>26</v>
      </c>
      <c r="B17" s="403" t="s">
        <v>27</v>
      </c>
      <c r="C17" s="403"/>
      <c r="D17" s="403"/>
      <c r="E17" s="403"/>
      <c r="F17" s="124"/>
      <c r="G17" s="124"/>
      <c r="H17" s="124"/>
    </row>
    <row r="18" spans="1:16" outlineLevel="1">
      <c r="A18" s="120" t="s">
        <v>28</v>
      </c>
      <c r="B18" s="403" t="s">
        <v>269</v>
      </c>
      <c r="C18" s="403"/>
      <c r="D18" s="403"/>
      <c r="E18" s="403"/>
      <c r="F18" s="123"/>
      <c r="G18" s="123"/>
      <c r="H18" s="123"/>
    </row>
    <row r="19" spans="1:16" ht="15.75" customHeight="1" outlineLevel="1">
      <c r="A19" s="119" t="s">
        <v>30</v>
      </c>
      <c r="B19" s="403" t="s">
        <v>31</v>
      </c>
      <c r="C19" s="403"/>
      <c r="D19" s="403"/>
      <c r="E19" s="403"/>
      <c r="F19" s="124"/>
      <c r="G19" s="124"/>
      <c r="H19" s="124"/>
    </row>
    <row r="20" spans="1:16" ht="19.5" customHeight="1" outlineLevel="1">
      <c r="A20" s="110"/>
      <c r="B20" s="104"/>
      <c r="C20" s="104"/>
      <c r="D20" s="104"/>
      <c r="E20" s="104"/>
      <c r="F20" s="104"/>
      <c r="G20" s="104"/>
      <c r="H20" s="104"/>
    </row>
    <row r="21" spans="1:16" ht="19.5" customHeight="1" outlineLevel="1">
      <c r="A21" s="407" t="s">
        <v>32</v>
      </c>
      <c r="B21" s="407"/>
      <c r="C21" s="407"/>
      <c r="D21" s="407"/>
      <c r="E21" s="407"/>
      <c r="F21" s="407"/>
      <c r="G21" s="407"/>
      <c r="H21" s="407"/>
    </row>
    <row r="22" spans="1:16" outlineLevel="1">
      <c r="A22" s="407" t="s">
        <v>33</v>
      </c>
      <c r="B22" s="407"/>
      <c r="C22" s="407"/>
      <c r="D22" s="407"/>
      <c r="E22" s="407"/>
      <c r="F22" s="407"/>
      <c r="G22" s="407"/>
      <c r="H22" s="407"/>
    </row>
    <row r="23" spans="1:16">
      <c r="A23" s="407" t="s">
        <v>270</v>
      </c>
      <c r="B23" s="407"/>
      <c r="C23" s="407"/>
      <c r="D23" s="407"/>
      <c r="E23" s="407"/>
      <c r="F23" s="407"/>
      <c r="G23" s="407"/>
      <c r="H23" s="407"/>
    </row>
    <row r="24" spans="1:16">
      <c r="A24" s="408" t="s">
        <v>34</v>
      </c>
      <c r="B24" s="408"/>
      <c r="C24" s="408"/>
      <c r="D24" s="408"/>
      <c r="E24" s="408"/>
      <c r="F24" s="408"/>
      <c r="G24" s="408"/>
      <c r="H24" s="408"/>
    </row>
    <row r="25" spans="1:16" ht="4.5" customHeight="1">
      <c r="A25" s="125"/>
      <c r="B25" s="125"/>
      <c r="C25" s="125"/>
      <c r="D25" s="125"/>
      <c r="E25" s="125"/>
      <c r="F25" s="125"/>
      <c r="G25" s="125"/>
      <c r="H25" s="125"/>
    </row>
    <row r="26" spans="1:16">
      <c r="A26" s="407" t="s">
        <v>35</v>
      </c>
      <c r="B26" s="407"/>
      <c r="C26" s="407"/>
      <c r="D26" s="407"/>
      <c r="E26" s="407"/>
      <c r="F26" s="407"/>
      <c r="G26" s="407"/>
      <c r="H26" s="407"/>
    </row>
    <row r="27" spans="1:16" ht="12" customHeight="1">
      <c r="B27" s="126"/>
      <c r="C27" s="126"/>
      <c r="D27" s="126"/>
      <c r="E27" s="126"/>
      <c r="F27" s="126"/>
      <c r="G27" s="126"/>
      <c r="H27" s="126"/>
    </row>
    <row r="28" spans="1:16" ht="48.75" customHeight="1">
      <c r="A28" s="409" t="s">
        <v>36</v>
      </c>
      <c r="B28" s="411" t="s">
        <v>37</v>
      </c>
      <c r="C28" s="413" t="s">
        <v>38</v>
      </c>
      <c r="D28" s="414"/>
      <c r="E28" s="415" t="s">
        <v>266</v>
      </c>
      <c r="F28" s="416"/>
      <c r="G28" s="416"/>
      <c r="H28" s="417"/>
    </row>
    <row r="29" spans="1:16" ht="32.25" customHeight="1">
      <c r="A29" s="410"/>
      <c r="B29" s="412"/>
      <c r="C29" s="144" t="s">
        <v>39</v>
      </c>
      <c r="D29" s="144" t="s">
        <v>40</v>
      </c>
      <c r="E29" s="144" t="s">
        <v>41</v>
      </c>
      <c r="F29" s="144" t="s">
        <v>42</v>
      </c>
      <c r="G29" s="144" t="s">
        <v>43</v>
      </c>
      <c r="H29" s="144" t="s">
        <v>44</v>
      </c>
    </row>
    <row r="30" spans="1:16">
      <c r="A30" s="143">
        <v>1</v>
      </c>
      <c r="B30" s="144">
        <v>2</v>
      </c>
      <c r="C30" s="143">
        <v>3</v>
      </c>
      <c r="D30" s="144">
        <v>4</v>
      </c>
      <c r="E30" s="143">
        <v>5</v>
      </c>
      <c r="F30" s="144">
        <v>6</v>
      </c>
      <c r="G30" s="143">
        <v>7</v>
      </c>
      <c r="H30" s="144">
        <v>8</v>
      </c>
    </row>
    <row r="31" spans="1:16" s="127" customFormat="1" ht="19.5" customHeight="1">
      <c r="A31" s="418" t="s">
        <v>45</v>
      </c>
      <c r="B31" s="419"/>
      <c r="C31" s="419"/>
      <c r="D31" s="419"/>
      <c r="E31" s="419"/>
      <c r="F31" s="419"/>
      <c r="G31" s="419"/>
      <c r="H31" s="420"/>
    </row>
    <row r="32" spans="1:16" s="127" customFormat="1">
      <c r="A32" s="146" t="s">
        <v>46</v>
      </c>
      <c r="B32" s="143">
        <v>1000</v>
      </c>
      <c r="C32" s="178">
        <f>C33+C36+C37+C40</f>
        <v>9828.3000000000011</v>
      </c>
      <c r="D32" s="178">
        <f>D33+D36+D37+D40</f>
        <v>11712.599999999999</v>
      </c>
      <c r="E32" s="178">
        <f>E33+E36+E37+E40</f>
        <v>7800.1486372400004</v>
      </c>
      <c r="F32" s="178">
        <f>F33+F36+F40+F37</f>
        <v>5797.9000000000015</v>
      </c>
      <c r="G32" s="178">
        <f>F32-E32</f>
        <v>-2002.248637239999</v>
      </c>
      <c r="H32" s="284">
        <f>(F32/E32)*100</f>
        <v>74.330634833280911</v>
      </c>
      <c r="I32" s="128">
        <f>E32-план!H37</f>
        <v>0</v>
      </c>
      <c r="J32" s="128">
        <f>D32-'1 кв'!F32-'2 кв'!F32</f>
        <v>0</v>
      </c>
      <c r="K32" s="128"/>
      <c r="L32" s="128"/>
      <c r="M32" s="128"/>
      <c r="N32" s="128"/>
      <c r="O32" s="128"/>
      <c r="P32" s="128"/>
    </row>
    <row r="33" spans="1:16" s="127" customFormat="1">
      <c r="A33" s="146" t="s">
        <v>47</v>
      </c>
      <c r="B33" s="143">
        <v>1010</v>
      </c>
      <c r="C33" s="180">
        <f>C34+C35</f>
        <v>9113.7000000000007</v>
      </c>
      <c r="D33" s="178">
        <f>D34+D35</f>
        <v>10655.8</v>
      </c>
      <c r="E33" s="178">
        <f>E34+E35</f>
        <v>5767.2742249011862</v>
      </c>
      <c r="F33" s="178">
        <f>F34+F35</f>
        <v>5092.2000000000007</v>
      </c>
      <c r="G33" s="178">
        <f>F33-E33</f>
        <v>-675.07422490118552</v>
      </c>
      <c r="H33" s="284">
        <f>(F33/E33)*100</f>
        <v>88.294743780581157</v>
      </c>
      <c r="I33" s="128">
        <f>E33-план!H38</f>
        <v>0</v>
      </c>
      <c r="J33" s="128">
        <f>D33-'1 кв'!F33-'2 кв'!F33</f>
        <v>0</v>
      </c>
      <c r="K33" s="128"/>
      <c r="L33" s="128"/>
      <c r="M33" s="128"/>
      <c r="N33" s="128"/>
      <c r="O33" s="128"/>
      <c r="P33" s="128"/>
    </row>
    <row r="34" spans="1:16" s="127" customFormat="1">
      <c r="A34" s="150" t="s">
        <v>48</v>
      </c>
      <c r="B34" s="143">
        <v>1011</v>
      </c>
      <c r="C34" s="276">
        <f>'2023'!D34</f>
        <v>234.78</v>
      </c>
      <c r="D34" s="276">
        <f>F34+'1 кв'!F34</f>
        <v>0</v>
      </c>
      <c r="E34" s="276">
        <f>план!H39</f>
        <v>0</v>
      </c>
      <c r="F34" s="276"/>
      <c r="G34" s="276"/>
      <c r="H34" s="285"/>
      <c r="I34" s="128">
        <f>E34-план!H39</f>
        <v>0</v>
      </c>
      <c r="J34" s="128">
        <f>D34-'1 кв'!F34-'2 кв'!F34</f>
        <v>0</v>
      </c>
      <c r="K34" s="128"/>
      <c r="L34" s="128"/>
      <c r="M34" s="128"/>
      <c r="N34" s="128"/>
      <c r="O34" s="128"/>
      <c r="P34" s="128"/>
    </row>
    <row r="35" spans="1:16" s="127" customFormat="1" ht="31.5">
      <c r="A35" s="150" t="s">
        <v>49</v>
      </c>
      <c r="B35" s="143">
        <v>1012</v>
      </c>
      <c r="C35" s="276">
        <f>'2023'!D35</f>
        <v>8878.92</v>
      </c>
      <c r="D35" s="276">
        <f>F35+'1 кв'!F35</f>
        <v>10655.8</v>
      </c>
      <c r="E35" s="276">
        <f>план!H40</f>
        <v>5767.2742249011862</v>
      </c>
      <c r="F35" s="276">
        <f>4970.6+121.6</f>
        <v>5092.2000000000007</v>
      </c>
      <c r="G35" s="276">
        <f>F35-E35</f>
        <v>-675.07422490118552</v>
      </c>
      <c r="H35" s="285">
        <f>(F35/E35)*100</f>
        <v>88.294743780581157</v>
      </c>
      <c r="I35" s="128">
        <f>E35-план!H40</f>
        <v>0</v>
      </c>
      <c r="J35" s="128">
        <f>D35-'1 кв'!F35-'2 кв'!F35</f>
        <v>0</v>
      </c>
      <c r="K35" s="128"/>
      <c r="L35" s="128"/>
      <c r="M35" s="128"/>
      <c r="N35" s="128"/>
      <c r="O35" s="128"/>
      <c r="P35" s="128"/>
    </row>
    <row r="36" spans="1:16" s="127" customFormat="1">
      <c r="A36" s="146" t="s">
        <v>50</v>
      </c>
      <c r="B36" s="143">
        <v>1020</v>
      </c>
      <c r="C36" s="277"/>
      <c r="D36" s="276"/>
      <c r="E36" s="276">
        <f>план!H41</f>
        <v>900</v>
      </c>
      <c r="F36" s="276"/>
      <c r="G36" s="276"/>
      <c r="H36" s="285"/>
      <c r="I36" s="128">
        <f>E36-план!H41</f>
        <v>0</v>
      </c>
      <c r="J36" s="128">
        <f>D36-'1 кв'!F36-'2 кв'!F36</f>
        <v>0</v>
      </c>
      <c r="K36" s="128"/>
      <c r="L36" s="128"/>
      <c r="M36" s="128"/>
      <c r="N36" s="128"/>
      <c r="O36" s="128"/>
      <c r="P36" s="128"/>
    </row>
    <row r="37" spans="1:16" s="127" customFormat="1" ht="18" customHeight="1">
      <c r="A37" s="146" t="s">
        <v>51</v>
      </c>
      <c r="B37" s="143">
        <v>1030</v>
      </c>
      <c r="C37" s="277">
        <f>C38+C39</f>
        <v>453.70000000000005</v>
      </c>
      <c r="D37" s="276">
        <f>D38+D39</f>
        <v>1042.4000000000001</v>
      </c>
      <c r="E37" s="276">
        <f>SUM(E38:E39)</f>
        <v>1132.8744123388142</v>
      </c>
      <c r="F37" s="276">
        <f>F38+F39</f>
        <v>696.6</v>
      </c>
      <c r="G37" s="276">
        <f>F37-E37</f>
        <v>-436.27441233881416</v>
      </c>
      <c r="H37" s="285">
        <f>(F37/E37)*100</f>
        <v>61.489604885847186</v>
      </c>
      <c r="I37" s="128">
        <f>E37-план!H42</f>
        <v>0</v>
      </c>
      <c r="J37" s="128">
        <f>D37-'1 кв'!F37-'2 кв'!F37</f>
        <v>0</v>
      </c>
      <c r="K37" s="128"/>
      <c r="L37" s="128"/>
      <c r="M37" s="128"/>
      <c r="N37" s="128"/>
      <c r="O37" s="128"/>
      <c r="P37" s="128"/>
    </row>
    <row r="38" spans="1:16" s="127" customFormat="1">
      <c r="A38" s="151" t="s">
        <v>259</v>
      </c>
      <c r="B38" s="143">
        <v>1031</v>
      </c>
      <c r="C38" s="276">
        <f>'2023'!D38</f>
        <v>453.70000000000005</v>
      </c>
      <c r="D38" s="302">
        <f>F38+'1 кв'!F38</f>
        <v>542.4</v>
      </c>
      <c r="E38" s="276">
        <f>план!H43</f>
        <v>440.8744123388143</v>
      </c>
      <c r="F38" s="276">
        <v>221.6</v>
      </c>
      <c r="G38" s="276">
        <f>F38-E38</f>
        <v>-219.2744123388143</v>
      </c>
      <c r="H38" s="285">
        <f>(F38/E38)*100</f>
        <v>50.263747180160514</v>
      </c>
      <c r="I38" s="128">
        <f>E38-план!H43</f>
        <v>0</v>
      </c>
      <c r="J38" s="128">
        <f>D38-'1 кв'!F38-'2 кв'!F38</f>
        <v>0</v>
      </c>
      <c r="K38" s="128"/>
      <c r="L38" s="128"/>
      <c r="M38" s="128"/>
      <c r="N38" s="128"/>
      <c r="O38" s="128"/>
      <c r="P38" s="128"/>
    </row>
    <row r="39" spans="1:16" s="127" customFormat="1">
      <c r="A39" s="151" t="s">
        <v>268</v>
      </c>
      <c r="B39" s="143">
        <v>1032</v>
      </c>
      <c r="C39" s="276">
        <f>'2023'!D39</f>
        <v>0</v>
      </c>
      <c r="D39" s="276">
        <f>F39+'1 кв'!F39</f>
        <v>500</v>
      </c>
      <c r="E39" s="276">
        <f>план!H44</f>
        <v>692</v>
      </c>
      <c r="F39" s="276">
        <v>475</v>
      </c>
      <c r="G39" s="276">
        <f>F39-E39</f>
        <v>-217</v>
      </c>
      <c r="H39" s="285">
        <f>(F39/E39)*100</f>
        <v>68.641618497109818</v>
      </c>
      <c r="I39" s="128">
        <f>E39-план!H44</f>
        <v>0</v>
      </c>
      <c r="J39" s="128">
        <f>D39-'1 кв'!F39-'2 кв'!F39</f>
        <v>0</v>
      </c>
      <c r="K39" s="128"/>
      <c r="L39" s="128"/>
      <c r="M39" s="128"/>
      <c r="N39" s="128"/>
      <c r="O39" s="128"/>
      <c r="P39" s="128"/>
    </row>
    <row r="40" spans="1:16" s="127" customFormat="1">
      <c r="A40" s="146" t="s">
        <v>53</v>
      </c>
      <c r="B40" s="143">
        <v>1040</v>
      </c>
      <c r="C40" s="278">
        <f>C41+C42+C43+C44+C45</f>
        <v>260.89999999999998</v>
      </c>
      <c r="D40" s="279">
        <f>D41+D42+D43+D44+D45</f>
        <v>14.399999999999999</v>
      </c>
      <c r="E40" s="279">
        <f>E41+E42+E43+E44+E45</f>
        <v>0</v>
      </c>
      <c r="F40" s="279">
        <f>F41+F42+F43+F44+F45</f>
        <v>9.1</v>
      </c>
      <c r="G40" s="276">
        <f t="shared" ref="G40:G47" si="0">F40-E40</f>
        <v>9.1</v>
      </c>
      <c r="H40" s="286"/>
      <c r="I40" s="128">
        <f>E40-план!H45</f>
        <v>0</v>
      </c>
      <c r="J40" s="128">
        <f>D40-'1 кв'!F40-'2 кв'!F40</f>
        <v>0</v>
      </c>
      <c r="K40" s="128"/>
      <c r="L40" s="128"/>
      <c r="M40" s="128"/>
      <c r="N40" s="128"/>
      <c r="O40" s="128"/>
      <c r="P40" s="128"/>
    </row>
    <row r="41" spans="1:16" s="127" customFormat="1">
      <c r="A41" s="150" t="s">
        <v>54</v>
      </c>
      <c r="B41" s="143">
        <v>1041</v>
      </c>
      <c r="C41" s="276">
        <f>'2023'!D41+'1 кв'!C41</f>
        <v>0</v>
      </c>
      <c r="D41" s="276">
        <f>F41+'1 кв'!F41</f>
        <v>0</v>
      </c>
      <c r="E41" s="276">
        <f>план!H46</f>
        <v>0</v>
      </c>
      <c r="F41" s="276"/>
      <c r="G41" s="276">
        <f t="shared" si="0"/>
        <v>0</v>
      </c>
      <c r="H41" s="285"/>
      <c r="I41" s="128">
        <f>E41-план!H46</f>
        <v>0</v>
      </c>
      <c r="J41" s="128">
        <f>D41-'1 кв'!F41-'2 кв'!F41</f>
        <v>0</v>
      </c>
      <c r="K41" s="128"/>
      <c r="L41" s="128"/>
      <c r="M41" s="128"/>
      <c r="N41" s="128"/>
      <c r="O41" s="128"/>
      <c r="P41" s="128"/>
    </row>
    <row r="42" spans="1:16" s="127" customFormat="1">
      <c r="A42" s="150" t="s">
        <v>55</v>
      </c>
      <c r="B42" s="143">
        <v>1042</v>
      </c>
      <c r="C42" s="276">
        <f>'2023'!D42+'1 кв'!C42</f>
        <v>0</v>
      </c>
      <c r="D42" s="276">
        <f>F42+'1 кв'!F42</f>
        <v>0</v>
      </c>
      <c r="E42" s="276">
        <f>план!H47</f>
        <v>0</v>
      </c>
      <c r="F42" s="276"/>
      <c r="G42" s="276">
        <f t="shared" si="0"/>
        <v>0</v>
      </c>
      <c r="H42" s="285"/>
      <c r="I42" s="128">
        <f>E42-план!H47</f>
        <v>0</v>
      </c>
      <c r="J42" s="128">
        <f>D42-'1 кв'!F42-'2 кв'!F42</f>
        <v>0</v>
      </c>
      <c r="K42" s="128"/>
      <c r="L42" s="128"/>
      <c r="M42" s="128"/>
      <c r="N42" s="128"/>
      <c r="O42" s="128"/>
      <c r="P42" s="128"/>
    </row>
    <row r="43" spans="1:16" s="127" customFormat="1">
      <c r="A43" s="154" t="s">
        <v>56</v>
      </c>
      <c r="B43" s="143">
        <v>1043</v>
      </c>
      <c r="C43" s="276">
        <f>'2023'!D43+'1 кв'!C43</f>
        <v>0</v>
      </c>
      <c r="D43" s="276">
        <f>F43+'1 кв'!F43</f>
        <v>0</v>
      </c>
      <c r="E43" s="276">
        <f>план!H48</f>
        <v>0</v>
      </c>
      <c r="F43" s="276"/>
      <c r="G43" s="276">
        <f t="shared" si="0"/>
        <v>0</v>
      </c>
      <c r="H43" s="285"/>
      <c r="I43" s="129">
        <f>E43-план!H48</f>
        <v>0</v>
      </c>
      <c r="J43" s="128">
        <f>D43-'1 кв'!F43-'2 кв'!F43</f>
        <v>0</v>
      </c>
      <c r="K43" s="128"/>
      <c r="L43" s="128"/>
      <c r="M43" s="128"/>
      <c r="N43" s="128"/>
      <c r="O43" s="128"/>
      <c r="P43" s="128"/>
    </row>
    <row r="44" spans="1:16" s="127" customFormat="1">
      <c r="A44" s="154" t="s">
        <v>57</v>
      </c>
      <c r="B44" s="143">
        <v>1044</v>
      </c>
      <c r="C44" s="276">
        <f>'2023'!D44</f>
        <v>260.89999999999998</v>
      </c>
      <c r="D44" s="276">
        <f>F44+'1 кв'!F44</f>
        <v>14.399999999999999</v>
      </c>
      <c r="E44" s="276">
        <f>план!H49</f>
        <v>0</v>
      </c>
      <c r="F44" s="276">
        <v>9.1</v>
      </c>
      <c r="G44" s="276">
        <f t="shared" si="0"/>
        <v>9.1</v>
      </c>
      <c r="H44" s="285"/>
      <c r="I44" s="129"/>
      <c r="J44" s="128">
        <f>D44-'1 кв'!F44-'2 кв'!F44</f>
        <v>0</v>
      </c>
      <c r="K44" s="128"/>
      <c r="L44" s="128"/>
      <c r="M44" s="128"/>
      <c r="N44" s="128"/>
      <c r="O44" s="128"/>
      <c r="P44" s="128"/>
    </row>
    <row r="45" spans="1:16" s="127" customFormat="1">
      <c r="A45" s="155" t="s">
        <v>254</v>
      </c>
      <c r="B45" s="143">
        <v>1045</v>
      </c>
      <c r="C45" s="276">
        <f>'2023'!D45+'1 кв'!C45</f>
        <v>0</v>
      </c>
      <c r="D45" s="276">
        <f>F45+'1 кв'!F45</f>
        <v>0</v>
      </c>
      <c r="E45" s="276">
        <f>план!H50</f>
        <v>0</v>
      </c>
      <c r="F45" s="276">
        <f>F46+F47</f>
        <v>0</v>
      </c>
      <c r="G45" s="276">
        <f t="shared" si="0"/>
        <v>0</v>
      </c>
      <c r="H45" s="285"/>
      <c r="I45" s="128">
        <f>E45-план!H50</f>
        <v>0</v>
      </c>
      <c r="J45" s="128">
        <f>D45-'1 кв'!F45-'2 кв'!F45</f>
        <v>0</v>
      </c>
      <c r="K45" s="128"/>
      <c r="L45" s="128"/>
      <c r="M45" s="128"/>
      <c r="N45" s="128"/>
      <c r="O45" s="128"/>
      <c r="P45" s="128"/>
    </row>
    <row r="46" spans="1:16" s="127" customFormat="1">
      <c r="A46" s="155" t="s">
        <v>59</v>
      </c>
      <c r="B46" s="143" t="s">
        <v>60</v>
      </c>
      <c r="C46" s="276">
        <f>'2023'!D46+'1 кв'!C46</f>
        <v>0</v>
      </c>
      <c r="D46" s="276">
        <f>F46+'1 кв'!F46</f>
        <v>0</v>
      </c>
      <c r="E46" s="276">
        <f>план!H51</f>
        <v>0</v>
      </c>
      <c r="F46" s="276"/>
      <c r="G46" s="276">
        <f t="shared" si="0"/>
        <v>0</v>
      </c>
      <c r="H46" s="285"/>
      <c r="I46" s="128">
        <f>E46-план!H51</f>
        <v>0</v>
      </c>
      <c r="J46" s="128">
        <f>D46-'1 кв'!F46-'2 кв'!F46</f>
        <v>0</v>
      </c>
      <c r="K46" s="128"/>
      <c r="L46" s="128"/>
      <c r="M46" s="128"/>
      <c r="N46" s="128"/>
      <c r="O46" s="128"/>
      <c r="P46" s="128"/>
    </row>
    <row r="47" spans="1:16" s="127" customFormat="1" ht="18.75">
      <c r="A47" s="155"/>
      <c r="B47" s="143"/>
      <c r="C47" s="8"/>
      <c r="D47" s="9"/>
      <c r="E47" s="9"/>
      <c r="F47" s="9"/>
      <c r="G47" s="9">
        <f t="shared" si="0"/>
        <v>0</v>
      </c>
      <c r="H47" s="287"/>
      <c r="I47" s="128">
        <f>E47-план!H52</f>
        <v>0</v>
      </c>
      <c r="J47" s="128">
        <f>D47-'1 кв'!F47-'2 кв'!F47</f>
        <v>0</v>
      </c>
      <c r="K47" s="128"/>
      <c r="L47" s="128"/>
      <c r="M47" s="128"/>
      <c r="N47" s="128"/>
      <c r="O47" s="128"/>
      <c r="P47" s="128"/>
    </row>
    <row r="48" spans="1:16" s="127" customFormat="1">
      <c r="A48" s="156" t="s">
        <v>62</v>
      </c>
      <c r="B48" s="143">
        <v>2000</v>
      </c>
      <c r="C48" s="178">
        <f>C49+C74</f>
        <v>11351.238000000001</v>
      </c>
      <c r="D48" s="178">
        <f>D49+D74</f>
        <v>11065.27</v>
      </c>
      <c r="E48" s="178">
        <f>E49+E74</f>
        <v>7800.1486372400004</v>
      </c>
      <c r="F48" s="178">
        <f>F49+F74</f>
        <v>5552.9580000000005</v>
      </c>
      <c r="G48" s="178">
        <f>F48-E48</f>
        <v>-2247.1906372399999</v>
      </c>
      <c r="H48" s="284">
        <f t="shared" ref="H48:H54" si="1">(F48/E48)*100</f>
        <v>71.190412622250435</v>
      </c>
      <c r="I48" s="128">
        <f>E48-план!H53</f>
        <v>0</v>
      </c>
      <c r="J48" s="128">
        <f>D48-'1 кв'!F48-'2 кв'!F48</f>
        <v>0</v>
      </c>
      <c r="K48" s="128"/>
      <c r="L48" s="128"/>
      <c r="M48" s="128"/>
      <c r="N48" s="128"/>
      <c r="O48" s="128"/>
      <c r="P48" s="128"/>
    </row>
    <row r="49" spans="1:16" s="127" customFormat="1">
      <c r="A49" s="157" t="s">
        <v>63</v>
      </c>
      <c r="B49" s="143">
        <v>2010</v>
      </c>
      <c r="C49" s="180">
        <f>C50+C51+C52+C66+C67+C68+C72+C73</f>
        <v>11351.238000000001</v>
      </c>
      <c r="D49" s="180">
        <f>D50+D51+D52+D66+D67+D68+D72+D73</f>
        <v>11065.27</v>
      </c>
      <c r="E49" s="180">
        <f>E50+E51+E52+E66+E67+E68+E72+E73</f>
        <v>7683.8986372400004</v>
      </c>
      <c r="F49" s="178">
        <f>F50+F51+F52+F66+F67+F68+F72+F73</f>
        <v>5552.9580000000005</v>
      </c>
      <c r="G49" s="178">
        <f>G50+G51+G52+G66+G67+G68+G72+G73</f>
        <v>-2130.9406372399994</v>
      </c>
      <c r="H49" s="284">
        <f t="shared" si="1"/>
        <v>72.267455131274119</v>
      </c>
      <c r="I49" s="128">
        <f>E49-план!H54</f>
        <v>0</v>
      </c>
      <c r="J49" s="128">
        <f>D49-'1 кв'!F49-'2 кв'!F49</f>
        <v>0</v>
      </c>
      <c r="K49" s="128"/>
      <c r="L49" s="128"/>
      <c r="M49" s="128"/>
      <c r="N49" s="128"/>
      <c r="O49" s="128"/>
      <c r="P49" s="128"/>
    </row>
    <row r="50" spans="1:16" s="127" customFormat="1">
      <c r="A50" s="158" t="s">
        <v>64</v>
      </c>
      <c r="B50" s="143">
        <v>2010</v>
      </c>
      <c r="C50" s="276">
        <f>'2023'!D50</f>
        <v>7914.8</v>
      </c>
      <c r="D50" s="188">
        <f>F50+'1 кв'!F50</f>
        <v>7618.5</v>
      </c>
      <c r="E50" s="188">
        <f>план!H55</f>
        <v>5118.7649999999994</v>
      </c>
      <c r="F50" s="188">
        <f>F166</f>
        <v>3798.8999999999996</v>
      </c>
      <c r="G50" s="188">
        <f t="shared" ref="G50:G88" si="2">F50-E50</f>
        <v>-1319.8649999999998</v>
      </c>
      <c r="H50" s="288">
        <f t="shared" si="1"/>
        <v>74.215167135041355</v>
      </c>
      <c r="I50" s="128">
        <f>E50-план!H55</f>
        <v>0</v>
      </c>
      <c r="J50" s="128">
        <f>D50-'1 кв'!F50-'2 кв'!F50</f>
        <v>0</v>
      </c>
      <c r="K50" s="128"/>
      <c r="L50" s="128"/>
      <c r="M50" s="128"/>
      <c r="N50" s="128"/>
      <c r="O50" s="128"/>
      <c r="P50" s="128"/>
    </row>
    <row r="51" spans="1:16" s="127" customFormat="1">
      <c r="A51" s="158" t="s">
        <v>65</v>
      </c>
      <c r="B51" s="143">
        <v>2011</v>
      </c>
      <c r="C51" s="276">
        <f>'2023'!D51</f>
        <v>1814.2079999999996</v>
      </c>
      <c r="D51" s="188">
        <f>F51+'1 кв'!F51</f>
        <v>1724.4700000000007</v>
      </c>
      <c r="E51" s="188">
        <f>план!H56</f>
        <v>1126.1282999999999</v>
      </c>
      <c r="F51" s="188">
        <f>F103</f>
        <v>873.15800000000036</v>
      </c>
      <c r="G51" s="188">
        <f t="shared" si="2"/>
        <v>-252.9702999999995</v>
      </c>
      <c r="H51" s="288">
        <f t="shared" si="1"/>
        <v>77.536280723963742</v>
      </c>
      <c r="I51" s="128">
        <f>E51-план!H56</f>
        <v>0</v>
      </c>
      <c r="J51" s="128">
        <f>D51-'1 кв'!F51-'2 кв'!F51</f>
        <v>0</v>
      </c>
      <c r="K51" s="128"/>
      <c r="L51" s="128"/>
      <c r="M51" s="128"/>
      <c r="N51" s="128"/>
      <c r="O51" s="128"/>
      <c r="P51" s="128"/>
    </row>
    <row r="52" spans="1:16" s="127" customFormat="1">
      <c r="A52" s="159" t="s">
        <v>66</v>
      </c>
      <c r="B52" s="143">
        <v>2020</v>
      </c>
      <c r="C52" s="280">
        <f>C53+C54+C55+C56+C57+C58+C59</f>
        <v>1328.03</v>
      </c>
      <c r="D52" s="280">
        <f>D53+D54+D55+D56+D57+D58+D59</f>
        <v>1505.8000000000002</v>
      </c>
      <c r="E52" s="281">
        <f>E53+E54+E55+E56+E57+E58+E59</f>
        <v>1327.4053372400001</v>
      </c>
      <c r="F52" s="281">
        <f>F53+F54+F55+F56+F57+F58+F59</f>
        <v>772.10000000000014</v>
      </c>
      <c r="G52" s="281">
        <f t="shared" si="2"/>
        <v>-555.30533723999997</v>
      </c>
      <c r="H52" s="289">
        <f t="shared" si="1"/>
        <v>58.166106338353629</v>
      </c>
      <c r="I52" s="128">
        <f>E52-план!H57</f>
        <v>0</v>
      </c>
      <c r="J52" s="128">
        <f>D52-'1 кв'!F52-'2 кв'!F52</f>
        <v>0</v>
      </c>
      <c r="K52" s="128"/>
      <c r="L52" s="128"/>
      <c r="M52" s="128"/>
      <c r="N52" s="128"/>
      <c r="O52" s="128"/>
      <c r="P52" s="128"/>
    </row>
    <row r="53" spans="1:16" s="127" customFormat="1">
      <c r="A53" s="158" t="s">
        <v>67</v>
      </c>
      <c r="B53" s="143">
        <v>2021</v>
      </c>
      <c r="C53" s="276">
        <f>'2023'!D53</f>
        <v>72.3</v>
      </c>
      <c r="D53" s="188">
        <f>F53+'1 кв'!F53</f>
        <v>57.5</v>
      </c>
      <c r="E53" s="188">
        <f>план!H58</f>
        <v>100</v>
      </c>
      <c r="F53" s="188">
        <v>22.8</v>
      </c>
      <c r="G53" s="188">
        <f t="shared" si="2"/>
        <v>-77.2</v>
      </c>
      <c r="H53" s="288">
        <f t="shared" si="1"/>
        <v>22.8</v>
      </c>
      <c r="I53" s="128">
        <f>E53-план!H58</f>
        <v>0</v>
      </c>
      <c r="J53" s="128">
        <f>D53-'1 кв'!F53-'2 кв'!F53</f>
        <v>0</v>
      </c>
      <c r="K53" s="128"/>
      <c r="L53" s="128"/>
      <c r="M53" s="128"/>
      <c r="N53" s="128"/>
      <c r="O53" s="128"/>
      <c r="P53" s="128"/>
    </row>
    <row r="54" spans="1:16" s="127" customFormat="1">
      <c r="A54" s="158" t="s">
        <v>68</v>
      </c>
      <c r="B54" s="143">
        <v>2022</v>
      </c>
      <c r="C54" s="276">
        <f>'2023'!D54</f>
        <v>691.7</v>
      </c>
      <c r="D54" s="188">
        <f>F54+'1 кв'!F54</f>
        <v>806.40000000000009</v>
      </c>
      <c r="E54" s="188">
        <f>план!H59</f>
        <v>750</v>
      </c>
      <c r="F54" s="188">
        <f>464.1+2.5</f>
        <v>466.6</v>
      </c>
      <c r="G54" s="188">
        <f t="shared" si="2"/>
        <v>-283.39999999999998</v>
      </c>
      <c r="H54" s="288">
        <f t="shared" si="1"/>
        <v>62.213333333333331</v>
      </c>
      <c r="I54" s="128">
        <f>E54-план!H59</f>
        <v>0</v>
      </c>
      <c r="J54" s="128">
        <f>D54-'1 кв'!F54-'2 кв'!F54</f>
        <v>0</v>
      </c>
      <c r="K54" s="128"/>
      <c r="L54" s="128"/>
      <c r="M54" s="128"/>
      <c r="N54" s="128"/>
      <c r="O54" s="128"/>
      <c r="P54" s="128"/>
    </row>
    <row r="55" spans="1:16" s="127" customFormat="1">
      <c r="A55" s="158" t="s">
        <v>69</v>
      </c>
      <c r="B55" s="143">
        <v>2023</v>
      </c>
      <c r="C55" s="276">
        <f>'2023'!D55</f>
        <v>0</v>
      </c>
      <c r="D55" s="188">
        <f>F55+'1 кв'!F55</f>
        <v>0</v>
      </c>
      <c r="E55" s="188">
        <f>план!H60</f>
        <v>0</v>
      </c>
      <c r="F55" s="188"/>
      <c r="G55" s="188">
        <f t="shared" si="2"/>
        <v>0</v>
      </c>
      <c r="H55" s="288"/>
      <c r="I55" s="128">
        <f>E55-план!H60</f>
        <v>0</v>
      </c>
      <c r="J55" s="128">
        <f>D55-'1 кв'!F55-'2 кв'!F55</f>
        <v>0</v>
      </c>
      <c r="K55" s="128"/>
      <c r="L55" s="128"/>
      <c r="M55" s="128"/>
      <c r="N55" s="128"/>
      <c r="O55" s="128"/>
      <c r="P55" s="128"/>
    </row>
    <row r="56" spans="1:16" s="127" customFormat="1">
      <c r="A56" s="158" t="s">
        <v>70</v>
      </c>
      <c r="B56" s="143">
        <v>2024</v>
      </c>
      <c r="C56" s="276">
        <f>'2023'!D56</f>
        <v>179.60000000000002</v>
      </c>
      <c r="D56" s="188">
        <f>F56+'1 кв'!F56</f>
        <v>188</v>
      </c>
      <c r="E56" s="188">
        <f>план!H61</f>
        <v>110</v>
      </c>
      <c r="F56" s="188">
        <v>105</v>
      </c>
      <c r="G56" s="188">
        <f t="shared" si="2"/>
        <v>-5</v>
      </c>
      <c r="H56" s="288">
        <f>(F56/E56)*100</f>
        <v>95.454545454545453</v>
      </c>
      <c r="I56" s="128">
        <f>E56-план!H61</f>
        <v>0</v>
      </c>
      <c r="J56" s="128">
        <f>D56-'1 кв'!F56-'2 кв'!F56</f>
        <v>0</v>
      </c>
      <c r="K56" s="128"/>
      <c r="L56" s="128"/>
      <c r="M56" s="128"/>
      <c r="N56" s="128"/>
      <c r="O56" s="128"/>
      <c r="P56" s="128"/>
    </row>
    <row r="57" spans="1:16" s="127" customFormat="1">
      <c r="A57" s="158" t="s">
        <v>71</v>
      </c>
      <c r="B57" s="143">
        <v>2025</v>
      </c>
      <c r="C57" s="276">
        <f>'2023'!D57</f>
        <v>0</v>
      </c>
      <c r="D57" s="188">
        <f>F57+'1 кв'!F57</f>
        <v>0</v>
      </c>
      <c r="E57" s="188">
        <f>план!H62</f>
        <v>0</v>
      </c>
      <c r="F57" s="188"/>
      <c r="G57" s="188">
        <f t="shared" si="2"/>
        <v>0</v>
      </c>
      <c r="H57" s="288"/>
      <c r="I57" s="128">
        <f>E57-план!H62</f>
        <v>0</v>
      </c>
      <c r="J57" s="128">
        <f>D57-'1 кв'!F57-'2 кв'!F57</f>
        <v>0</v>
      </c>
      <c r="K57" s="128"/>
      <c r="L57" s="128"/>
      <c r="M57" s="128"/>
      <c r="N57" s="128"/>
      <c r="O57" s="128"/>
      <c r="P57" s="128"/>
    </row>
    <row r="58" spans="1:16" s="127" customFormat="1">
      <c r="A58" s="158" t="s">
        <v>72</v>
      </c>
      <c r="B58" s="143">
        <v>2026</v>
      </c>
      <c r="C58" s="276">
        <f>'2023'!D58</f>
        <v>0</v>
      </c>
      <c r="D58" s="188">
        <f>F58+'1 кв'!F58</f>
        <v>0</v>
      </c>
      <c r="E58" s="188">
        <f>план!H63</f>
        <v>0</v>
      </c>
      <c r="F58" s="188"/>
      <c r="G58" s="188">
        <f t="shared" si="2"/>
        <v>0</v>
      </c>
      <c r="H58" s="288"/>
      <c r="I58" s="128">
        <f>E58-план!H63</f>
        <v>0</v>
      </c>
      <c r="J58" s="128">
        <f>D58-'1 кв'!F58-'2 кв'!F58</f>
        <v>0</v>
      </c>
      <c r="K58" s="128"/>
      <c r="L58" s="128"/>
      <c r="M58" s="128"/>
      <c r="N58" s="128"/>
      <c r="O58" s="128"/>
      <c r="P58" s="128"/>
    </row>
    <row r="59" spans="1:16" s="127" customFormat="1">
      <c r="A59" s="158" t="s">
        <v>73</v>
      </c>
      <c r="B59" s="143">
        <v>2027</v>
      </c>
      <c r="C59" s="189">
        <f>SUM(C60:C64)</f>
        <v>384.42999999999995</v>
      </c>
      <c r="D59" s="189">
        <f>SUM(D60:D64)</f>
        <v>453.90000000000003</v>
      </c>
      <c r="E59" s="189">
        <f>E60+E61+E62+E63+E64+E65</f>
        <v>367.40533724000005</v>
      </c>
      <c r="F59" s="189">
        <f>F60+F61+F62+F63+F64+F65</f>
        <v>177.7</v>
      </c>
      <c r="G59" s="188">
        <f t="shared" si="2"/>
        <v>-189.70533724000006</v>
      </c>
      <c r="H59" s="288">
        <f>(F59/E59)*100</f>
        <v>48.366199940073571</v>
      </c>
      <c r="I59" s="128">
        <f>E59-план!H64</f>
        <v>0</v>
      </c>
      <c r="J59" s="128">
        <f>D59-'1 кв'!F59-'2 кв'!F59</f>
        <v>0</v>
      </c>
      <c r="K59" s="128"/>
      <c r="L59" s="128"/>
      <c r="M59" s="128"/>
      <c r="N59" s="128"/>
      <c r="O59" s="128"/>
      <c r="P59" s="128"/>
    </row>
    <row r="60" spans="1:16" s="127" customFormat="1">
      <c r="A60" s="158" t="s">
        <v>74</v>
      </c>
      <c r="B60" s="143">
        <v>2028</v>
      </c>
      <c r="C60" s="276">
        <f>'2023'!D60</f>
        <v>174.2</v>
      </c>
      <c r="D60" s="189">
        <f>F60+'1 кв'!F60</f>
        <v>206.6</v>
      </c>
      <c r="E60" s="188">
        <f>план!H65</f>
        <v>174.91186044</v>
      </c>
      <c r="F60" s="189">
        <v>48.1</v>
      </c>
      <c r="G60" s="189">
        <f t="shared" si="2"/>
        <v>-126.81186044</v>
      </c>
      <c r="H60" s="288">
        <f>(F60/E60)*100</f>
        <v>27.499564568693007</v>
      </c>
      <c r="I60" s="128">
        <f>E60-план!H65</f>
        <v>0</v>
      </c>
      <c r="J60" s="128">
        <f>D60-'1 кв'!F60-'2 кв'!F60</f>
        <v>0</v>
      </c>
      <c r="K60" s="128"/>
      <c r="L60" s="128"/>
      <c r="M60" s="128"/>
      <c r="N60" s="128"/>
      <c r="O60" s="128"/>
      <c r="P60" s="128"/>
    </row>
    <row r="61" spans="1:16" s="127" customFormat="1">
      <c r="A61" s="158" t="s">
        <v>75</v>
      </c>
      <c r="B61" s="143">
        <v>2029</v>
      </c>
      <c r="C61" s="276">
        <f>'2023'!D61</f>
        <v>19.63</v>
      </c>
      <c r="D61" s="189">
        <f>F61+'1 кв'!F61</f>
        <v>13.8</v>
      </c>
      <c r="E61" s="188">
        <f>план!H66</f>
        <v>15.751324799999999</v>
      </c>
      <c r="F61" s="189">
        <v>10.5</v>
      </c>
      <c r="G61" s="189">
        <f t="shared" si="2"/>
        <v>-5.251324799999999</v>
      </c>
      <c r="H61" s="288">
        <f>(F61/E61)*100</f>
        <v>66.661059519260249</v>
      </c>
      <c r="I61" s="128">
        <f>E61-план!H66</f>
        <v>0</v>
      </c>
      <c r="J61" s="128">
        <f>D61-'1 кв'!F61-'2 кв'!F61</f>
        <v>0</v>
      </c>
      <c r="K61" s="128"/>
      <c r="L61" s="128"/>
      <c r="M61" s="128"/>
      <c r="N61" s="128"/>
      <c r="O61" s="128"/>
      <c r="P61" s="128"/>
    </row>
    <row r="62" spans="1:16" s="127" customFormat="1">
      <c r="A62" s="158" t="s">
        <v>76</v>
      </c>
      <c r="B62" s="143">
        <v>2030</v>
      </c>
      <c r="C62" s="276">
        <f>'2023'!D62</f>
        <v>187.2</v>
      </c>
      <c r="D62" s="189">
        <f>F62+'1 кв'!F62</f>
        <v>229.7</v>
      </c>
      <c r="E62" s="188">
        <f>план!H67</f>
        <v>172.63875200000004</v>
      </c>
      <c r="F62" s="189">
        <v>116.4</v>
      </c>
      <c r="G62" s="189">
        <f t="shared" si="2"/>
        <v>-56.238752000000034</v>
      </c>
      <c r="H62" s="288">
        <f>(F62/E62)*100</f>
        <v>67.424027717716569</v>
      </c>
      <c r="I62" s="128">
        <f>E62-план!H67</f>
        <v>0</v>
      </c>
      <c r="J62" s="128">
        <f>D62-'1 кв'!F62-'2 кв'!F62</f>
        <v>0</v>
      </c>
      <c r="K62" s="128"/>
      <c r="L62" s="128"/>
      <c r="M62" s="128"/>
      <c r="N62" s="128"/>
      <c r="O62" s="128"/>
      <c r="P62" s="128"/>
    </row>
    <row r="63" spans="1:16" s="127" customFormat="1">
      <c r="A63" s="158" t="s">
        <v>77</v>
      </c>
      <c r="B63" s="143">
        <v>2031</v>
      </c>
      <c r="C63" s="276">
        <f>'2023'!D63</f>
        <v>0</v>
      </c>
      <c r="D63" s="189">
        <f>F63+'1 кв'!F63</f>
        <v>0</v>
      </c>
      <c r="E63" s="188">
        <f>план!H68</f>
        <v>0</v>
      </c>
      <c r="F63" s="189"/>
      <c r="G63" s="189">
        <f t="shared" si="2"/>
        <v>0</v>
      </c>
      <c r="H63" s="288"/>
      <c r="I63" s="128">
        <f>E63-план!H68</f>
        <v>0</v>
      </c>
      <c r="J63" s="128">
        <f>D63-'1 кв'!F63-'2 кв'!F63</f>
        <v>0</v>
      </c>
      <c r="K63" s="128"/>
      <c r="L63" s="128"/>
      <c r="M63" s="128"/>
      <c r="N63" s="128"/>
      <c r="O63" s="128"/>
      <c r="P63" s="128"/>
    </row>
    <row r="64" spans="1:16" s="127" customFormat="1" ht="16.5" customHeight="1">
      <c r="A64" s="158" t="s">
        <v>78</v>
      </c>
      <c r="B64" s="143">
        <v>2032</v>
      </c>
      <c r="C64" s="276">
        <f>'2023'!D64</f>
        <v>3.4</v>
      </c>
      <c r="D64" s="189">
        <f>F64+'1 кв'!F64</f>
        <v>3.8000000000000003</v>
      </c>
      <c r="E64" s="188">
        <f>план!H69</f>
        <v>4.1033999999999997</v>
      </c>
      <c r="F64" s="189">
        <v>2.7</v>
      </c>
      <c r="G64" s="189">
        <f t="shared" si="2"/>
        <v>-1.4033999999999995</v>
      </c>
      <c r="H64" s="288">
        <f>(F64/E64)*100</f>
        <v>65.799093434712688</v>
      </c>
      <c r="I64" s="128">
        <f>E64-план!H69</f>
        <v>0</v>
      </c>
      <c r="J64" s="128">
        <f>D64-'1 кв'!F64-'2 кв'!F64</f>
        <v>0</v>
      </c>
      <c r="K64" s="128"/>
      <c r="L64" s="128"/>
      <c r="M64" s="128"/>
      <c r="N64" s="128"/>
      <c r="O64" s="128"/>
      <c r="P64" s="128"/>
    </row>
    <row r="65" spans="1:16" s="127" customFormat="1">
      <c r="A65" s="158" t="s">
        <v>79</v>
      </c>
      <c r="B65" s="143">
        <v>2033</v>
      </c>
      <c r="C65" s="188">
        <f>'2023'!D65+'1 кв'!C65</f>
        <v>0</v>
      </c>
      <c r="D65" s="189">
        <f>F65+'1 кв'!F65</f>
        <v>0</v>
      </c>
      <c r="E65" s="188">
        <f>план!H70</f>
        <v>0</v>
      </c>
      <c r="F65" s="189"/>
      <c r="G65" s="189">
        <f t="shared" si="2"/>
        <v>0</v>
      </c>
      <c r="H65" s="288"/>
      <c r="I65" s="128">
        <f>E65-план!H70</f>
        <v>0</v>
      </c>
      <c r="J65" s="128">
        <f>D65-'1 кв'!F65-'2 кв'!F65</f>
        <v>0</v>
      </c>
      <c r="K65" s="128"/>
      <c r="L65" s="128"/>
      <c r="M65" s="128"/>
      <c r="N65" s="128"/>
      <c r="O65" s="128"/>
      <c r="P65" s="128"/>
    </row>
    <row r="66" spans="1:16" s="127" customFormat="1" ht="29.25" customHeight="1">
      <c r="A66" s="158" t="s">
        <v>80</v>
      </c>
      <c r="B66" s="143">
        <v>2030</v>
      </c>
      <c r="C66" s="188">
        <f>'2023'!D66+'1 кв'!C66</f>
        <v>0</v>
      </c>
      <c r="D66" s="189"/>
      <c r="E66" s="188">
        <f>план!H71</f>
        <v>0</v>
      </c>
      <c r="F66" s="189"/>
      <c r="G66" s="189">
        <f t="shared" si="2"/>
        <v>0</v>
      </c>
      <c r="H66" s="288"/>
      <c r="I66" s="128">
        <f>E66-план!H71</f>
        <v>0</v>
      </c>
      <c r="J66" s="128">
        <f>D66-'1 кв'!F66-'2 кв'!F66</f>
        <v>0</v>
      </c>
      <c r="K66" s="128"/>
      <c r="L66" s="128"/>
      <c r="M66" s="128"/>
      <c r="N66" s="128"/>
      <c r="O66" s="128"/>
      <c r="P66" s="128"/>
    </row>
    <row r="67" spans="1:16" s="127" customFormat="1">
      <c r="A67" s="158" t="s">
        <v>81</v>
      </c>
      <c r="B67" s="143">
        <v>2040</v>
      </c>
      <c r="C67" s="188">
        <f>'2023'!D67+'1 кв'!C67</f>
        <v>0</v>
      </c>
      <c r="D67" s="189"/>
      <c r="E67" s="188">
        <f>план!H72</f>
        <v>0</v>
      </c>
      <c r="F67" s="189"/>
      <c r="G67" s="189">
        <f t="shared" si="2"/>
        <v>0</v>
      </c>
      <c r="H67" s="288"/>
      <c r="I67" s="128">
        <f>E67-план!H72</f>
        <v>0</v>
      </c>
      <c r="J67" s="128">
        <f>D67-'1 кв'!F67-'2 кв'!F67</f>
        <v>0</v>
      </c>
      <c r="K67" s="128"/>
      <c r="L67" s="128"/>
      <c r="M67" s="128"/>
      <c r="N67" s="128"/>
      <c r="O67" s="128"/>
      <c r="P67" s="128"/>
    </row>
    <row r="68" spans="1:16" s="127" customFormat="1">
      <c r="A68" s="158" t="s">
        <v>82</v>
      </c>
      <c r="B68" s="143">
        <v>2050</v>
      </c>
      <c r="C68" s="189">
        <f>C69+C70+C71</f>
        <v>52.7</v>
      </c>
      <c r="D68" s="189">
        <f>D69+D70+D71</f>
        <v>53.8</v>
      </c>
      <c r="E68" s="189">
        <f>E69+E70+E71</f>
        <v>27</v>
      </c>
      <c r="F68" s="189">
        <f>F69+F70+F71</f>
        <v>27.2</v>
      </c>
      <c r="G68" s="189">
        <f>G69+G70+G71</f>
        <v>0.19999999999999929</v>
      </c>
      <c r="H68" s="288">
        <f>(F68/E68)*100</f>
        <v>100.74074074074073</v>
      </c>
      <c r="I68" s="128">
        <f>E68-план!H73</f>
        <v>0</v>
      </c>
      <c r="J68" s="128">
        <f>D68-'1 кв'!F68-'2 кв'!F68</f>
        <v>0</v>
      </c>
      <c r="K68" s="128"/>
      <c r="L68" s="128"/>
      <c r="M68" s="128"/>
      <c r="N68" s="128"/>
      <c r="O68" s="128"/>
      <c r="P68" s="128"/>
    </row>
    <row r="69" spans="1:16" s="127" customFormat="1">
      <c r="A69" s="158" t="s">
        <v>83</v>
      </c>
      <c r="B69" s="143">
        <v>2051</v>
      </c>
      <c r="C69" s="276">
        <f>'2023'!D69</f>
        <v>52.7</v>
      </c>
      <c r="D69" s="189">
        <f>F69+'1 кв'!F69</f>
        <v>53.8</v>
      </c>
      <c r="E69" s="188">
        <f>план!H74</f>
        <v>27</v>
      </c>
      <c r="F69" s="189">
        <v>27.2</v>
      </c>
      <c r="G69" s="189">
        <f t="shared" si="2"/>
        <v>0.19999999999999929</v>
      </c>
      <c r="H69" s="288">
        <f>(F69/E69)*100</f>
        <v>100.74074074074073</v>
      </c>
      <c r="I69" s="128">
        <f>E69-план!H74</f>
        <v>0</v>
      </c>
      <c r="J69" s="128">
        <f>D69-'1 кв'!F69-'2 кв'!F69</f>
        <v>0</v>
      </c>
      <c r="K69" s="128"/>
      <c r="L69" s="128"/>
      <c r="M69" s="128"/>
      <c r="N69" s="128"/>
      <c r="O69" s="128"/>
      <c r="P69" s="128"/>
    </row>
    <row r="70" spans="1:16" s="127" customFormat="1">
      <c r="A70" s="158" t="s">
        <v>84</v>
      </c>
      <c r="B70" s="143">
        <v>2052</v>
      </c>
      <c r="C70" s="276">
        <f>'2023'!D70</f>
        <v>0</v>
      </c>
      <c r="D70" s="189">
        <f>F70+'1 кв'!F70</f>
        <v>0</v>
      </c>
      <c r="E70" s="188">
        <f>план!H75</f>
        <v>0</v>
      </c>
      <c r="F70" s="189"/>
      <c r="G70" s="189">
        <f t="shared" si="2"/>
        <v>0</v>
      </c>
      <c r="H70" s="288"/>
      <c r="I70" s="128">
        <f>E70-план!H75</f>
        <v>0</v>
      </c>
      <c r="J70" s="128">
        <f>D70-'1 кв'!F70-'2 кв'!F70</f>
        <v>0</v>
      </c>
      <c r="K70" s="128"/>
      <c r="L70" s="128"/>
      <c r="M70" s="128"/>
      <c r="N70" s="128"/>
      <c r="O70" s="128"/>
      <c r="P70" s="128"/>
    </row>
    <row r="71" spans="1:16" s="127" customFormat="1">
      <c r="A71" s="158" t="s">
        <v>255</v>
      </c>
      <c r="B71" s="143">
        <v>2053</v>
      </c>
      <c r="C71" s="276">
        <f>'2023'!D71</f>
        <v>0</v>
      </c>
      <c r="D71" s="189">
        <f>F71+'1 кв'!F71</f>
        <v>0</v>
      </c>
      <c r="E71" s="188">
        <f>план!H76</f>
        <v>0</v>
      </c>
      <c r="F71" s="189"/>
      <c r="G71" s="189">
        <f t="shared" si="2"/>
        <v>0</v>
      </c>
      <c r="H71" s="288"/>
      <c r="I71" s="128">
        <f>E71-план!H76</f>
        <v>0</v>
      </c>
      <c r="J71" s="128">
        <f>D71-'1 кв'!F71-'2 кв'!F71</f>
        <v>0</v>
      </c>
      <c r="K71" s="128"/>
      <c r="L71" s="128"/>
      <c r="M71" s="128"/>
      <c r="N71" s="128"/>
      <c r="O71" s="128"/>
      <c r="P71" s="128"/>
    </row>
    <row r="72" spans="1:16" s="127" customFormat="1">
      <c r="A72" s="158" t="s">
        <v>86</v>
      </c>
      <c r="B72" s="143">
        <v>2060</v>
      </c>
      <c r="C72" s="276">
        <f>'2023'!D72</f>
        <v>241.5</v>
      </c>
      <c r="D72" s="193">
        <f>F72+'1 кв'!F72</f>
        <v>162.69999999999999</v>
      </c>
      <c r="E72" s="188">
        <f>план!H77</f>
        <v>84.6</v>
      </c>
      <c r="F72" s="189">
        <v>81.599999999999994</v>
      </c>
      <c r="G72" s="189">
        <f t="shared" si="2"/>
        <v>-3</v>
      </c>
      <c r="H72" s="288">
        <f>(F72/E72)*100</f>
        <v>96.453900709219852</v>
      </c>
      <c r="I72" s="128">
        <f>E72-план!H77</f>
        <v>0</v>
      </c>
      <c r="J72" s="128">
        <f>D72-'1 кв'!F72-'2 кв'!F72</f>
        <v>0</v>
      </c>
      <c r="K72" s="128"/>
      <c r="L72" s="128"/>
      <c r="M72" s="128"/>
      <c r="N72" s="128"/>
      <c r="O72" s="128"/>
      <c r="P72" s="128"/>
    </row>
    <row r="73" spans="1:16" s="127" customFormat="1">
      <c r="A73" s="158" t="s">
        <v>256</v>
      </c>
      <c r="B73" s="143">
        <v>2070</v>
      </c>
      <c r="C73" s="189"/>
      <c r="D73" s="189"/>
      <c r="E73" s="189"/>
      <c r="F73" s="189"/>
      <c r="G73" s="189">
        <f t="shared" si="2"/>
        <v>0</v>
      </c>
      <c r="H73" s="288"/>
      <c r="I73" s="128">
        <f>E73-план!H78</f>
        <v>0</v>
      </c>
      <c r="J73" s="128">
        <f>D73-'1 кв'!F73-'2 кв'!F73</f>
        <v>0</v>
      </c>
      <c r="K73" s="128"/>
      <c r="L73" s="128"/>
      <c r="M73" s="128"/>
      <c r="N73" s="128"/>
      <c r="O73" s="128"/>
      <c r="P73" s="128"/>
    </row>
    <row r="74" spans="1:16" s="127" customFormat="1">
      <c r="A74" s="157" t="s">
        <v>88</v>
      </c>
      <c r="B74" s="143">
        <v>2100</v>
      </c>
      <c r="C74" s="190">
        <f>C75+C76+C79+C82+C86+C87</f>
        <v>0</v>
      </c>
      <c r="D74" s="190">
        <f>D75+D76+D79+D82+D86+D87</f>
        <v>0</v>
      </c>
      <c r="E74" s="190">
        <f>E75+E76+E79+E82+E86+E87</f>
        <v>116.25</v>
      </c>
      <c r="F74" s="190">
        <f>F75+F76+F79+F82+F86+F87</f>
        <v>0</v>
      </c>
      <c r="G74" s="189">
        <f t="shared" si="2"/>
        <v>-116.25</v>
      </c>
      <c r="H74" s="290"/>
      <c r="I74" s="128">
        <f>E74-план!H79</f>
        <v>0</v>
      </c>
      <c r="J74" s="128">
        <f>D74-'1 кв'!F74-'2 кв'!F74</f>
        <v>0</v>
      </c>
      <c r="K74" s="128"/>
      <c r="L74" s="128"/>
      <c r="M74" s="128"/>
      <c r="N74" s="128"/>
      <c r="O74" s="128"/>
      <c r="P74" s="128"/>
    </row>
    <row r="75" spans="1:16" s="127" customFormat="1" ht="21.75" customHeight="1">
      <c r="A75" s="158" t="s">
        <v>89</v>
      </c>
      <c r="B75" s="143">
        <v>2110</v>
      </c>
      <c r="C75" s="190"/>
      <c r="D75" s="190"/>
      <c r="E75" s="190">
        <f>план!H80</f>
        <v>116.25</v>
      </c>
      <c r="F75" s="190"/>
      <c r="G75" s="189">
        <f t="shared" si="2"/>
        <v>-116.25</v>
      </c>
      <c r="H75" s="290"/>
      <c r="I75" s="128">
        <f>E75-план!H80</f>
        <v>0</v>
      </c>
      <c r="J75" s="128">
        <f>D75-'1 кв'!F75-'2 кв'!F75</f>
        <v>0</v>
      </c>
      <c r="K75" s="128"/>
      <c r="L75" s="128"/>
      <c r="M75" s="128"/>
      <c r="N75" s="128"/>
      <c r="O75" s="128"/>
      <c r="P75" s="128"/>
    </row>
    <row r="76" spans="1:16" s="127" customFormat="1">
      <c r="A76" s="158" t="s">
        <v>90</v>
      </c>
      <c r="B76" s="143">
        <v>2120</v>
      </c>
      <c r="C76" s="194">
        <f>C77+C78</f>
        <v>0</v>
      </c>
      <c r="D76" s="190">
        <f>D77+D78</f>
        <v>0</v>
      </c>
      <c r="E76" s="190">
        <f>E77+E78</f>
        <v>0</v>
      </c>
      <c r="F76" s="190">
        <f>F77+F78</f>
        <v>0</v>
      </c>
      <c r="G76" s="189">
        <f t="shared" si="2"/>
        <v>0</v>
      </c>
      <c r="H76" s="290"/>
      <c r="I76" s="128">
        <f>E76-план!H81</f>
        <v>0</v>
      </c>
      <c r="J76" s="128">
        <f>D76-'1 кв'!F76-'2 кв'!F76</f>
        <v>0</v>
      </c>
      <c r="K76" s="128"/>
      <c r="L76" s="128"/>
      <c r="M76" s="128"/>
      <c r="N76" s="128"/>
      <c r="O76" s="128"/>
      <c r="P76" s="128"/>
    </row>
    <row r="77" spans="1:16" s="127" customFormat="1">
      <c r="A77" s="158" t="s">
        <v>91</v>
      </c>
      <c r="B77" s="143">
        <v>2121</v>
      </c>
      <c r="C77" s="189"/>
      <c r="D77" s="189"/>
      <c r="E77" s="189"/>
      <c r="F77" s="189"/>
      <c r="G77" s="189">
        <f t="shared" si="2"/>
        <v>0</v>
      </c>
      <c r="H77" s="288"/>
      <c r="I77" s="128">
        <f>E77-план!H82</f>
        <v>0</v>
      </c>
      <c r="J77" s="128">
        <f>D77-'1 кв'!F77-'2 кв'!F77</f>
        <v>0</v>
      </c>
      <c r="K77" s="128"/>
      <c r="L77" s="128"/>
      <c r="M77" s="128"/>
      <c r="N77" s="128"/>
      <c r="O77" s="128"/>
      <c r="P77" s="128"/>
    </row>
    <row r="78" spans="1:16" s="127" customFormat="1">
      <c r="A78" s="158" t="s">
        <v>92</v>
      </c>
      <c r="B78" s="143">
        <v>2122</v>
      </c>
      <c r="C78" s="189"/>
      <c r="D78" s="189"/>
      <c r="E78" s="189"/>
      <c r="F78" s="189"/>
      <c r="G78" s="189">
        <f t="shared" si="2"/>
        <v>0</v>
      </c>
      <c r="H78" s="288"/>
      <c r="I78" s="128">
        <f>E78-план!H83</f>
        <v>0</v>
      </c>
      <c r="J78" s="128">
        <f>D78-'1 кв'!F78-'2 кв'!F78</f>
        <v>0</v>
      </c>
      <c r="K78" s="128"/>
      <c r="L78" s="128"/>
      <c r="M78" s="128"/>
      <c r="N78" s="128"/>
      <c r="O78" s="128"/>
      <c r="P78" s="128"/>
    </row>
    <row r="79" spans="1:16" s="127" customFormat="1">
      <c r="A79" s="158" t="s">
        <v>93</v>
      </c>
      <c r="B79" s="143">
        <v>2130</v>
      </c>
      <c r="C79" s="189">
        <f>C80+C81</f>
        <v>0</v>
      </c>
      <c r="D79" s="189">
        <f>D80+D81</f>
        <v>0</v>
      </c>
      <c r="E79" s="189">
        <f>E80+E81</f>
        <v>0</v>
      </c>
      <c r="F79" s="189">
        <f>F80+F81</f>
        <v>0</v>
      </c>
      <c r="G79" s="189">
        <f t="shared" si="2"/>
        <v>0</v>
      </c>
      <c r="H79" s="288"/>
      <c r="I79" s="128">
        <f>E79-план!H84</f>
        <v>0</v>
      </c>
      <c r="J79" s="128">
        <f>D79-'1 кв'!F79-'2 кв'!F79</f>
        <v>0</v>
      </c>
      <c r="K79" s="128"/>
      <c r="L79" s="128"/>
      <c r="M79" s="128"/>
      <c r="N79" s="128"/>
      <c r="O79" s="128"/>
      <c r="P79" s="128"/>
    </row>
    <row r="80" spans="1:16" s="127" customFormat="1">
      <c r="A80" s="158" t="s">
        <v>94</v>
      </c>
      <c r="B80" s="143">
        <v>2131</v>
      </c>
      <c r="C80" s="189"/>
      <c r="D80" s="189"/>
      <c r="E80" s="189"/>
      <c r="F80" s="189"/>
      <c r="G80" s="189">
        <f t="shared" si="2"/>
        <v>0</v>
      </c>
      <c r="H80" s="288"/>
      <c r="I80" s="128">
        <f>E80-план!H85</f>
        <v>0</v>
      </c>
      <c r="J80" s="128">
        <f>D80-'1 кв'!F80-'2 кв'!F80</f>
        <v>0</v>
      </c>
      <c r="K80" s="128"/>
      <c r="L80" s="128"/>
      <c r="M80" s="128"/>
      <c r="N80" s="128"/>
      <c r="O80" s="128"/>
      <c r="P80" s="128"/>
    </row>
    <row r="81" spans="1:18" s="127" customFormat="1">
      <c r="A81" s="158" t="s">
        <v>95</v>
      </c>
      <c r="B81" s="143">
        <v>2132</v>
      </c>
      <c r="C81" s="189"/>
      <c r="D81" s="189"/>
      <c r="E81" s="189"/>
      <c r="F81" s="189"/>
      <c r="G81" s="189">
        <f t="shared" si="2"/>
        <v>0</v>
      </c>
      <c r="H81" s="288"/>
      <c r="I81" s="128">
        <f>E81-план!H86</f>
        <v>0</v>
      </c>
      <c r="J81" s="128">
        <f>D81-'1 кв'!F81-'2 кв'!F81</f>
        <v>0</v>
      </c>
      <c r="K81" s="128"/>
      <c r="L81" s="128"/>
      <c r="M81" s="128"/>
      <c r="N81" s="128"/>
      <c r="O81" s="128"/>
      <c r="P81" s="128"/>
    </row>
    <row r="82" spans="1:18" s="127" customFormat="1">
      <c r="A82" s="158" t="s">
        <v>96</v>
      </c>
      <c r="B82" s="143">
        <v>2140</v>
      </c>
      <c r="C82" s="189">
        <f>C83+C84+C85</f>
        <v>0</v>
      </c>
      <c r="D82" s="189">
        <f>D83+D84+D85</f>
        <v>0</v>
      </c>
      <c r="E82" s="189">
        <f>E83+E84+E85</f>
        <v>0</v>
      </c>
      <c r="F82" s="189">
        <f>F83+F84+F85</f>
        <v>0</v>
      </c>
      <c r="G82" s="189">
        <f t="shared" si="2"/>
        <v>0</v>
      </c>
      <c r="H82" s="288"/>
      <c r="I82" s="128">
        <f>E82-план!H87</f>
        <v>0</v>
      </c>
      <c r="J82" s="128">
        <f>D82-'1 кв'!F82-'2 кв'!F82</f>
        <v>0</v>
      </c>
      <c r="K82" s="128"/>
      <c r="L82" s="128"/>
      <c r="M82" s="128"/>
      <c r="N82" s="128"/>
      <c r="O82" s="128"/>
      <c r="P82" s="128"/>
    </row>
    <row r="83" spans="1:18" s="127" customFormat="1">
      <c r="A83" s="158" t="s">
        <v>97</v>
      </c>
      <c r="B83" s="143">
        <v>2141</v>
      </c>
      <c r="C83" s="189"/>
      <c r="D83" s="189"/>
      <c r="E83" s="189"/>
      <c r="F83" s="189"/>
      <c r="G83" s="189">
        <f t="shared" si="2"/>
        <v>0</v>
      </c>
      <c r="H83" s="288"/>
      <c r="I83" s="128">
        <f>E83-план!H88</f>
        <v>0</v>
      </c>
      <c r="J83" s="128">
        <f>D83-'1 кв'!F83-'2 кв'!F83</f>
        <v>0</v>
      </c>
      <c r="K83" s="128"/>
      <c r="L83" s="128"/>
      <c r="M83" s="128"/>
      <c r="N83" s="128"/>
      <c r="O83" s="128"/>
      <c r="P83" s="128"/>
    </row>
    <row r="84" spans="1:18" s="127" customFormat="1">
      <c r="A84" s="158" t="s">
        <v>98</v>
      </c>
      <c r="B84" s="143">
        <v>2142</v>
      </c>
      <c r="C84" s="189"/>
      <c r="D84" s="189"/>
      <c r="E84" s="189"/>
      <c r="F84" s="189"/>
      <c r="G84" s="189">
        <f t="shared" si="2"/>
        <v>0</v>
      </c>
      <c r="H84" s="288"/>
      <c r="I84" s="128">
        <f>E84-план!H89</f>
        <v>0</v>
      </c>
      <c r="J84" s="128">
        <f>D84-'1 кв'!F84-'2 кв'!F84</f>
        <v>0</v>
      </c>
      <c r="K84" s="128"/>
      <c r="L84" s="128"/>
      <c r="M84" s="128"/>
      <c r="N84" s="128"/>
      <c r="O84" s="128"/>
      <c r="P84" s="128"/>
    </row>
    <row r="85" spans="1:18" s="127" customFormat="1">
      <c r="A85" s="158" t="s">
        <v>99</v>
      </c>
      <c r="B85" s="143">
        <v>2143</v>
      </c>
      <c r="C85" s="190"/>
      <c r="D85" s="190"/>
      <c r="E85" s="190"/>
      <c r="F85" s="190"/>
      <c r="G85" s="189">
        <f t="shared" si="2"/>
        <v>0</v>
      </c>
      <c r="H85" s="290"/>
      <c r="I85" s="128">
        <f>E85-план!H90</f>
        <v>0</v>
      </c>
      <c r="J85" s="128">
        <f>D85-'1 кв'!F85-'2 кв'!F85</f>
        <v>0</v>
      </c>
      <c r="K85" s="128"/>
      <c r="L85" s="128"/>
      <c r="M85" s="128"/>
      <c r="N85" s="128"/>
      <c r="O85" s="128"/>
      <c r="P85" s="128"/>
    </row>
    <row r="86" spans="1:18" s="127" customFormat="1">
      <c r="A86" s="158" t="s">
        <v>100</v>
      </c>
      <c r="B86" s="143">
        <v>2150</v>
      </c>
      <c r="C86" s="189"/>
      <c r="D86" s="189"/>
      <c r="E86" s="189"/>
      <c r="F86" s="189"/>
      <c r="G86" s="189">
        <f t="shared" si="2"/>
        <v>0</v>
      </c>
      <c r="H86" s="288"/>
      <c r="I86" s="128">
        <f>E86-план!H91</f>
        <v>0</v>
      </c>
      <c r="J86" s="128">
        <f>D86-'1 кв'!F86-'2 кв'!F86</f>
        <v>0</v>
      </c>
      <c r="K86" s="128"/>
      <c r="L86" s="128"/>
      <c r="M86" s="128"/>
      <c r="N86" s="128"/>
      <c r="O86" s="128"/>
      <c r="P86" s="128"/>
    </row>
    <row r="87" spans="1:18" s="127" customFormat="1">
      <c r="A87" s="158" t="s">
        <v>101</v>
      </c>
      <c r="B87" s="143">
        <v>2160</v>
      </c>
      <c r="C87" s="189"/>
      <c r="D87" s="189"/>
      <c r="E87" s="189"/>
      <c r="F87" s="189"/>
      <c r="G87" s="189">
        <f t="shared" si="2"/>
        <v>0</v>
      </c>
      <c r="H87" s="288"/>
      <c r="I87" s="128">
        <f>E87-план!H92</f>
        <v>0</v>
      </c>
      <c r="J87" s="128">
        <f>D87-'1 кв'!F87-'2 кв'!F87</f>
        <v>0</v>
      </c>
      <c r="K87" s="128"/>
      <c r="L87" s="128"/>
      <c r="M87" s="128"/>
      <c r="N87" s="128"/>
      <c r="O87" s="128"/>
      <c r="P87" s="128"/>
    </row>
    <row r="88" spans="1:18" s="127" customFormat="1">
      <c r="A88" s="158" t="s">
        <v>102</v>
      </c>
      <c r="B88" s="143">
        <v>2170</v>
      </c>
      <c r="C88" s="189"/>
      <c r="D88" s="189"/>
      <c r="E88" s="189"/>
      <c r="F88" s="189"/>
      <c r="G88" s="189">
        <f t="shared" si="2"/>
        <v>0</v>
      </c>
      <c r="H88" s="288"/>
      <c r="I88" s="128">
        <f>E88-план!H93</f>
        <v>0</v>
      </c>
      <c r="J88" s="128">
        <f>D88-'1 кв'!F88-'2 кв'!F88</f>
        <v>0</v>
      </c>
      <c r="K88" s="128"/>
      <c r="L88" s="128"/>
      <c r="M88" s="128"/>
      <c r="N88" s="128"/>
      <c r="O88" s="128"/>
      <c r="P88" s="128"/>
    </row>
    <row r="89" spans="1:18" s="127" customFormat="1">
      <c r="A89" s="158"/>
      <c r="B89" s="143">
        <v>2171</v>
      </c>
      <c r="C89" s="147">
        <f>'2023'!C89</f>
        <v>0</v>
      </c>
      <c r="D89" s="149"/>
      <c r="E89" s="149"/>
      <c r="F89" s="149"/>
      <c r="G89" s="149">
        <f>F89-E89</f>
        <v>0</v>
      </c>
      <c r="H89" s="291"/>
      <c r="I89" s="128">
        <f>E89-план!H94</f>
        <v>0</v>
      </c>
      <c r="J89" s="128">
        <f>D89-'1 кв'!F89-'2 кв'!F89</f>
        <v>0</v>
      </c>
      <c r="K89" s="128"/>
      <c r="L89" s="128"/>
      <c r="M89" s="128"/>
      <c r="N89" s="128"/>
      <c r="O89" s="128"/>
      <c r="P89" s="128"/>
    </row>
    <row r="90" spans="1:18" s="127" customFormat="1">
      <c r="A90" s="146" t="s">
        <v>103</v>
      </c>
      <c r="B90" s="143">
        <v>4000</v>
      </c>
      <c r="C90" s="178">
        <f>C32</f>
        <v>9828.3000000000011</v>
      </c>
      <c r="D90" s="178">
        <f>D32</f>
        <v>11712.599999999999</v>
      </c>
      <c r="E90" s="178">
        <f>E32</f>
        <v>7800.1486372400004</v>
      </c>
      <c r="F90" s="178">
        <f>F32</f>
        <v>5797.9000000000015</v>
      </c>
      <c r="G90" s="178">
        <f>G32</f>
        <v>-2002.248637239999</v>
      </c>
      <c r="H90" s="178">
        <f>F90/E90*100</f>
        <v>74.330634833280911</v>
      </c>
      <c r="I90" s="128">
        <f>E90-план!H95</f>
        <v>0</v>
      </c>
      <c r="J90" s="128">
        <f>D90-'1 кв'!F90-'2 кв'!F90</f>
        <v>0</v>
      </c>
      <c r="K90" s="128"/>
      <c r="L90" s="128"/>
      <c r="M90" s="128"/>
      <c r="N90" s="128"/>
      <c r="O90" s="128"/>
      <c r="P90" s="128"/>
    </row>
    <row r="91" spans="1:18" s="127" customFormat="1">
      <c r="A91" s="146" t="s">
        <v>104</v>
      </c>
      <c r="B91" s="143">
        <v>5000</v>
      </c>
      <c r="C91" s="178">
        <f>C48</f>
        <v>11351.238000000001</v>
      </c>
      <c r="D91" s="178">
        <f>D48</f>
        <v>11065.27</v>
      </c>
      <c r="E91" s="178">
        <f>E48</f>
        <v>7800.1486372400004</v>
      </c>
      <c r="F91" s="178">
        <f>F48</f>
        <v>5552.9580000000005</v>
      </c>
      <c r="G91" s="178">
        <f>G48</f>
        <v>-2247.1906372399999</v>
      </c>
      <c r="H91" s="178">
        <f>F91/E91*100</f>
        <v>71.190412622250435</v>
      </c>
      <c r="I91" s="128">
        <f>E91-план!H96</f>
        <v>0</v>
      </c>
      <c r="J91" s="128">
        <f>D91-'1 кв'!F91-'2 кв'!F91</f>
        <v>0</v>
      </c>
      <c r="K91" s="128"/>
      <c r="L91" s="128"/>
      <c r="M91" s="128"/>
      <c r="N91" s="128"/>
      <c r="O91" s="128"/>
      <c r="P91" s="128"/>
    </row>
    <row r="92" spans="1:18" s="127" customFormat="1">
      <c r="A92" s="162" t="s">
        <v>105</v>
      </c>
      <c r="B92" s="143">
        <v>6000</v>
      </c>
      <c r="C92" s="180">
        <f>C90-C91</f>
        <v>-1522.9380000000001</v>
      </c>
      <c r="D92" s="178">
        <f>D90-D91</f>
        <v>647.32999999999811</v>
      </c>
      <c r="E92" s="180">
        <f>E90-E91</f>
        <v>0</v>
      </c>
      <c r="F92" s="178">
        <f>F90-F91</f>
        <v>244.94200000000092</v>
      </c>
      <c r="G92" s="178">
        <f>F92-E92</f>
        <v>244.94200000000092</v>
      </c>
      <c r="H92" s="178"/>
      <c r="I92" s="128">
        <f>E92-план!H97</f>
        <v>0</v>
      </c>
      <c r="J92" s="128">
        <f>D92-'1 кв'!F92-'2 кв'!F92</f>
        <v>-1.8189894035458565E-12</v>
      </c>
      <c r="K92" s="128"/>
      <c r="L92" s="128"/>
      <c r="M92" s="128"/>
      <c r="N92" s="128"/>
      <c r="O92" s="128"/>
      <c r="P92" s="128"/>
      <c r="Q92" s="128" t="e">
        <f>I92-#REF!</f>
        <v>#REF!</v>
      </c>
      <c r="R92" s="128" t="e">
        <f>J92-#REF!</f>
        <v>#REF!</v>
      </c>
    </row>
    <row r="93" spans="1:18" s="127" customFormat="1">
      <c r="A93" s="418" t="s">
        <v>106</v>
      </c>
      <c r="B93" s="419"/>
      <c r="C93" s="419"/>
      <c r="D93" s="419"/>
      <c r="E93" s="419"/>
      <c r="F93" s="419"/>
      <c r="G93" s="419"/>
      <c r="H93" s="420"/>
      <c r="I93" s="128">
        <f>E93-план!H98</f>
        <v>0</v>
      </c>
      <c r="J93" s="128">
        <f>D93-'1 кв'!F93-'2 кв'!F93</f>
        <v>0</v>
      </c>
      <c r="K93" s="128"/>
      <c r="L93" s="128"/>
      <c r="M93" s="128"/>
      <c r="N93" s="128"/>
      <c r="O93" s="128"/>
      <c r="P93" s="128"/>
    </row>
    <row r="94" spans="1:18" s="127" customFormat="1" ht="31.5">
      <c r="A94" s="163" t="s">
        <v>107</v>
      </c>
      <c r="B94" s="143">
        <v>7100</v>
      </c>
      <c r="C94" s="180">
        <f>C95+C96+C97+C98</f>
        <v>16.5</v>
      </c>
      <c r="D94" s="180">
        <f>D95+D96+D97+D98</f>
        <v>17.8</v>
      </c>
      <c r="E94" s="180">
        <f>E95+E96+E97+E98</f>
        <v>7.5</v>
      </c>
      <c r="F94" s="180">
        <f>F95+F96+F97+F98</f>
        <v>10.6</v>
      </c>
      <c r="G94" s="180">
        <f t="shared" ref="G94:G107" si="3">F94-E94</f>
        <v>3.0999999999999996</v>
      </c>
      <c r="H94" s="275">
        <f t="shared" ref="H94:H107" si="4">(F94/E94)*100</f>
        <v>141.33333333333334</v>
      </c>
      <c r="I94" s="128">
        <f>E94-план!H99</f>
        <v>0</v>
      </c>
      <c r="J94" s="128">
        <f>D94-'1 кв'!F94-'2 кв'!F94</f>
        <v>0</v>
      </c>
      <c r="K94" s="128"/>
      <c r="L94" s="128"/>
      <c r="M94" s="128"/>
      <c r="N94" s="128"/>
      <c r="O94" s="128"/>
      <c r="P94" s="128"/>
    </row>
    <row r="95" spans="1:18" s="127" customFormat="1" ht="31.5">
      <c r="A95" s="164" t="s">
        <v>108</v>
      </c>
      <c r="B95" s="143">
        <v>7110</v>
      </c>
      <c r="C95" s="189">
        <f>'2023'!D95</f>
        <v>16.5</v>
      </c>
      <c r="D95" s="196">
        <f>F95+'1 кв'!F95</f>
        <v>17.8</v>
      </c>
      <c r="E95" s="196">
        <f>план!H100</f>
        <v>7.5</v>
      </c>
      <c r="F95" s="196">
        <v>10.6</v>
      </c>
      <c r="G95" s="190">
        <f t="shared" si="3"/>
        <v>3.0999999999999996</v>
      </c>
      <c r="H95" s="282">
        <f t="shared" si="4"/>
        <v>141.33333333333334</v>
      </c>
      <c r="I95" s="128">
        <f>E95-план!H100</f>
        <v>0</v>
      </c>
      <c r="J95" s="128">
        <f>D95-'1 кв'!F95-'2 кв'!F95</f>
        <v>0</v>
      </c>
      <c r="K95" s="128"/>
      <c r="L95" s="128"/>
      <c r="M95" s="128"/>
      <c r="N95" s="128"/>
      <c r="O95" s="128"/>
      <c r="P95" s="128"/>
    </row>
    <row r="96" spans="1:18" s="127" customFormat="1" ht="36" customHeight="1">
      <c r="A96" s="165" t="s">
        <v>109</v>
      </c>
      <c r="B96" s="144">
        <v>7120</v>
      </c>
      <c r="C96" s="189">
        <f>'2023'!D96</f>
        <v>0</v>
      </c>
      <c r="D96" s="196">
        <f>F96+'1 кв'!F96</f>
        <v>0</v>
      </c>
      <c r="E96" s="196">
        <f>план!H101</f>
        <v>0</v>
      </c>
      <c r="F96" s="196"/>
      <c r="G96" s="190">
        <f t="shared" si="3"/>
        <v>0</v>
      </c>
      <c r="H96" s="282"/>
      <c r="I96" s="128">
        <f>E96-план!H101</f>
        <v>0</v>
      </c>
      <c r="J96" s="128">
        <f>D96-'1 кв'!F96-'2 кв'!F96</f>
        <v>0</v>
      </c>
      <c r="K96" s="128"/>
      <c r="L96" s="128"/>
      <c r="M96" s="128"/>
      <c r="N96" s="128"/>
      <c r="O96" s="128"/>
      <c r="P96" s="128"/>
    </row>
    <row r="97" spans="1:16" s="127" customFormat="1">
      <c r="A97" s="166" t="s">
        <v>110</v>
      </c>
      <c r="B97" s="144">
        <v>7130</v>
      </c>
      <c r="C97" s="189">
        <f>'2023'!D97</f>
        <v>0</v>
      </c>
      <c r="D97" s="196">
        <f>F97+'1 кв'!F97</f>
        <v>0</v>
      </c>
      <c r="E97" s="196">
        <f>план!H102</f>
        <v>0</v>
      </c>
      <c r="F97" s="196"/>
      <c r="G97" s="190">
        <f t="shared" si="3"/>
        <v>0</v>
      </c>
      <c r="H97" s="282"/>
      <c r="I97" s="128">
        <f>E97-план!H102</f>
        <v>0</v>
      </c>
      <c r="J97" s="128">
        <f>D97-'1 кв'!F97-'2 кв'!F97</f>
        <v>0</v>
      </c>
      <c r="K97" s="128"/>
      <c r="L97" s="128"/>
      <c r="M97" s="128"/>
      <c r="N97" s="128"/>
      <c r="O97" s="128"/>
      <c r="P97" s="128"/>
    </row>
    <row r="98" spans="1:16" s="127" customFormat="1">
      <c r="A98" s="166" t="s">
        <v>111</v>
      </c>
      <c r="B98" s="144">
        <v>7140</v>
      </c>
      <c r="C98" s="189">
        <f>'2023'!D98</f>
        <v>0</v>
      </c>
      <c r="D98" s="196">
        <f>F98+'1 кв'!F98</f>
        <v>0</v>
      </c>
      <c r="E98" s="196">
        <f>план!H103</f>
        <v>0</v>
      </c>
      <c r="F98" s="196"/>
      <c r="G98" s="190">
        <f t="shared" si="3"/>
        <v>0</v>
      </c>
      <c r="H98" s="282"/>
      <c r="I98" s="128">
        <f>E98-план!H103</f>
        <v>0</v>
      </c>
      <c r="J98" s="128">
        <f>D98-'1 кв'!F98-'2 кв'!F98</f>
        <v>0</v>
      </c>
      <c r="K98" s="128"/>
      <c r="L98" s="128"/>
      <c r="M98" s="128"/>
      <c r="N98" s="128"/>
      <c r="O98" s="128"/>
      <c r="P98" s="128"/>
    </row>
    <row r="99" spans="1:16" s="127" customFormat="1" ht="31.5">
      <c r="A99" s="167" t="s">
        <v>112</v>
      </c>
      <c r="B99" s="144">
        <v>7200</v>
      </c>
      <c r="C99" s="190">
        <f>C100+C101</f>
        <v>1427.9</v>
      </c>
      <c r="D99" s="190">
        <f>D100+D101</f>
        <v>1373.1999999999998</v>
      </c>
      <c r="E99" s="190">
        <f>E100+E101</f>
        <v>921.37769999999989</v>
      </c>
      <c r="F99" s="190">
        <f>F100+F101</f>
        <v>689.3</v>
      </c>
      <c r="G99" s="190">
        <f>F99-E99</f>
        <v>-232.07769999999994</v>
      </c>
      <c r="H99" s="282">
        <f t="shared" si="4"/>
        <v>74.811882249809187</v>
      </c>
      <c r="I99" s="128">
        <f>E99-план!H104</f>
        <v>0</v>
      </c>
      <c r="J99" s="128">
        <f>D99-'1 кв'!F99-'2 кв'!F99</f>
        <v>0</v>
      </c>
      <c r="K99" s="128"/>
      <c r="L99" s="128"/>
      <c r="M99" s="128"/>
      <c r="N99" s="128"/>
      <c r="O99" s="128"/>
      <c r="P99" s="128"/>
    </row>
    <row r="100" spans="1:16" s="127" customFormat="1">
      <c r="A100" s="164" t="s">
        <v>113</v>
      </c>
      <c r="B100" s="144">
        <v>7210</v>
      </c>
      <c r="C100" s="189">
        <f>'2023'!D100</f>
        <v>1427.9</v>
      </c>
      <c r="D100" s="196">
        <f>F100+'1 кв'!F100</f>
        <v>1373.1999999999998</v>
      </c>
      <c r="E100" s="196">
        <f>план!H105</f>
        <v>921.37769999999989</v>
      </c>
      <c r="F100" s="196">
        <v>689.3</v>
      </c>
      <c r="G100" s="190">
        <f t="shared" si="3"/>
        <v>-232.07769999999994</v>
      </c>
      <c r="H100" s="282">
        <f t="shared" si="4"/>
        <v>74.811882249809187</v>
      </c>
      <c r="I100" s="128">
        <f>E100-план!H105</f>
        <v>0</v>
      </c>
      <c r="J100" s="128">
        <f>D100-'1 кв'!F100-'2 кв'!F100</f>
        <v>0</v>
      </c>
      <c r="K100" s="128"/>
      <c r="L100" s="128"/>
      <c r="M100" s="128"/>
      <c r="N100" s="128"/>
      <c r="O100" s="128"/>
      <c r="P100" s="128"/>
    </row>
    <row r="101" spans="1:16" s="127" customFormat="1">
      <c r="A101" s="165" t="s">
        <v>114</v>
      </c>
      <c r="B101" s="145">
        <v>7220</v>
      </c>
      <c r="C101" s="189">
        <f>'2023'!D101</f>
        <v>0</v>
      </c>
      <c r="D101" s="196">
        <f>F101+'1 кв'!F101</f>
        <v>0</v>
      </c>
      <c r="E101" s="196">
        <f>план!H106</f>
        <v>0</v>
      </c>
      <c r="F101" s="196"/>
      <c r="G101" s="190">
        <f t="shared" si="3"/>
        <v>0</v>
      </c>
      <c r="H101" s="282"/>
      <c r="I101" s="128">
        <f>E101-план!H106</f>
        <v>0</v>
      </c>
      <c r="J101" s="128">
        <f>D101-'1 кв'!F101-'2 кв'!F101</f>
        <v>0</v>
      </c>
      <c r="K101" s="128"/>
      <c r="L101" s="128"/>
      <c r="M101" s="128"/>
      <c r="N101" s="128"/>
      <c r="O101" s="128"/>
      <c r="P101" s="128"/>
    </row>
    <row r="102" spans="1:16" s="127" customFormat="1" ht="31.5">
      <c r="A102" s="167" t="s">
        <v>115</v>
      </c>
      <c r="B102" s="144">
        <v>7300</v>
      </c>
      <c r="C102" s="197">
        <f>C103+C104+C105+C106</f>
        <v>1933.9079999999997</v>
      </c>
      <c r="D102" s="197">
        <f>D103+D104+D105+D106</f>
        <v>1839.3700000000008</v>
      </c>
      <c r="E102" s="197">
        <f>E103+E104+E105+E106</f>
        <v>1202.9097749999999</v>
      </c>
      <c r="F102" s="197">
        <f>F103+F104+F105+F106</f>
        <v>930.8580000000004</v>
      </c>
      <c r="G102" s="190">
        <f t="shared" si="3"/>
        <v>-272.05177499999945</v>
      </c>
      <c r="H102" s="282">
        <f t="shared" si="4"/>
        <v>77.383858652241855</v>
      </c>
      <c r="I102" s="128">
        <f>E102-план!H107</f>
        <v>0</v>
      </c>
      <c r="J102" s="128">
        <f>D102-'1 кв'!F102-'2 кв'!F102</f>
        <v>0</v>
      </c>
      <c r="K102" s="128"/>
      <c r="L102" s="128"/>
      <c r="M102" s="128"/>
      <c r="N102" s="128"/>
      <c r="O102" s="128"/>
      <c r="P102" s="128"/>
    </row>
    <row r="103" spans="1:16" s="127" customFormat="1" ht="32.25" customHeight="1">
      <c r="A103" s="166" t="s">
        <v>116</v>
      </c>
      <c r="B103" s="144">
        <v>7310</v>
      </c>
      <c r="C103" s="189">
        <f>'2023'!D103</f>
        <v>1814.2079999999996</v>
      </c>
      <c r="D103" s="189">
        <f>F103+'1 кв'!F103</f>
        <v>1724.4700000000007</v>
      </c>
      <c r="E103" s="196">
        <f>план!H108</f>
        <v>1126.1282999999999</v>
      </c>
      <c r="F103" s="189">
        <f>F159-F166</f>
        <v>873.15800000000036</v>
      </c>
      <c r="G103" s="196">
        <f t="shared" si="3"/>
        <v>-252.9702999999995</v>
      </c>
      <c r="H103" s="282">
        <f t="shared" si="4"/>
        <v>77.536280723963742</v>
      </c>
      <c r="I103" s="128">
        <f>E103-план!H108</f>
        <v>0</v>
      </c>
      <c r="J103" s="128">
        <f>D103-'1 кв'!F103-'2 кв'!F103</f>
        <v>0</v>
      </c>
      <c r="K103" s="128"/>
      <c r="L103" s="128"/>
      <c r="M103" s="128"/>
      <c r="N103" s="128"/>
      <c r="O103" s="128"/>
      <c r="P103" s="128"/>
    </row>
    <row r="104" spans="1:16" s="127" customFormat="1">
      <c r="A104" s="166" t="s">
        <v>117</v>
      </c>
      <c r="B104" s="144">
        <v>7320</v>
      </c>
      <c r="C104" s="189">
        <f>'2023'!D104</f>
        <v>119.7</v>
      </c>
      <c r="D104" s="189">
        <f>F104+'1 кв'!F104</f>
        <v>114.9</v>
      </c>
      <c r="E104" s="196">
        <f>план!H109</f>
        <v>76.781474999999986</v>
      </c>
      <c r="F104" s="189">
        <v>57.7</v>
      </c>
      <c r="G104" s="196">
        <f t="shared" si="3"/>
        <v>-19.081474999999983</v>
      </c>
      <c r="H104" s="282">
        <f t="shared" si="4"/>
        <v>75.148334933654255</v>
      </c>
      <c r="I104" s="128">
        <f>E104-план!H109</f>
        <v>0</v>
      </c>
      <c r="J104" s="128">
        <f>D104-'1 кв'!F104-'2 кв'!F104</f>
        <v>0</v>
      </c>
      <c r="K104" s="128"/>
      <c r="L104" s="128"/>
      <c r="M104" s="128"/>
      <c r="N104" s="128"/>
      <c r="O104" s="128"/>
      <c r="P104" s="128"/>
    </row>
    <row r="105" spans="1:16" s="127" customFormat="1" ht="17.25" customHeight="1">
      <c r="A105" s="166" t="s">
        <v>118</v>
      </c>
      <c r="B105" s="144">
        <v>7330</v>
      </c>
      <c r="C105" s="189">
        <f>'2023'!D105</f>
        <v>0</v>
      </c>
      <c r="D105" s="189">
        <f>F105+'1 кв'!F105</f>
        <v>0</v>
      </c>
      <c r="E105" s="196">
        <f>план!H110</f>
        <v>0</v>
      </c>
      <c r="F105" s="189"/>
      <c r="G105" s="190">
        <f t="shared" si="3"/>
        <v>0</v>
      </c>
      <c r="H105" s="192"/>
      <c r="I105" s="128">
        <f>E105-план!H110</f>
        <v>0</v>
      </c>
      <c r="J105" s="128">
        <f>D105-'1 кв'!F105-'2 кв'!F105</f>
        <v>0</v>
      </c>
      <c r="K105" s="128"/>
      <c r="L105" s="128"/>
      <c r="M105" s="128"/>
      <c r="N105" s="128"/>
      <c r="O105" s="128"/>
      <c r="P105" s="128"/>
    </row>
    <row r="106" spans="1:16" s="127" customFormat="1" ht="15.75" customHeight="1">
      <c r="A106" s="166" t="s">
        <v>250</v>
      </c>
      <c r="B106" s="144">
        <v>7340</v>
      </c>
      <c r="C106" s="189">
        <f>'2023'!D106</f>
        <v>0</v>
      </c>
      <c r="D106" s="189">
        <f>F106+'1 кв'!F106</f>
        <v>0</v>
      </c>
      <c r="E106" s="196">
        <f>план!H111</f>
        <v>0</v>
      </c>
      <c r="F106" s="189"/>
      <c r="G106" s="190">
        <f t="shared" si="3"/>
        <v>0</v>
      </c>
      <c r="H106" s="192"/>
      <c r="I106" s="128">
        <f>E106-план!H111</f>
        <v>0</v>
      </c>
      <c r="J106" s="128">
        <f>D106-'1 кв'!F106-'2 кв'!F106</f>
        <v>0</v>
      </c>
      <c r="K106" s="128"/>
      <c r="L106" s="128"/>
      <c r="M106" s="128"/>
      <c r="N106" s="128"/>
      <c r="O106" s="128"/>
      <c r="P106" s="128"/>
    </row>
    <row r="107" spans="1:16" s="127" customFormat="1">
      <c r="A107" s="167" t="s">
        <v>119</v>
      </c>
      <c r="B107" s="144">
        <v>7000</v>
      </c>
      <c r="C107" s="197">
        <f>C102+C99+C94</f>
        <v>3378.308</v>
      </c>
      <c r="D107" s="197">
        <f>D102+D99+D94</f>
        <v>3230.3700000000008</v>
      </c>
      <c r="E107" s="197">
        <f>E102+E99+E94</f>
        <v>2131.7874749999996</v>
      </c>
      <c r="F107" s="197">
        <f>F102+F99+F94</f>
        <v>1630.7580000000003</v>
      </c>
      <c r="G107" s="190">
        <f t="shared" si="3"/>
        <v>-501.02947499999937</v>
      </c>
      <c r="H107" s="282">
        <f t="shared" si="4"/>
        <v>76.497212743967395</v>
      </c>
      <c r="I107" s="128">
        <f>E107-план!H112</f>
        <v>0</v>
      </c>
      <c r="J107" s="128">
        <f>D107-'1 кв'!F107-'2 кв'!F107</f>
        <v>0</v>
      </c>
      <c r="K107" s="128"/>
      <c r="L107" s="128"/>
      <c r="M107" s="128"/>
      <c r="N107" s="128"/>
      <c r="O107" s="128"/>
      <c r="P107" s="128"/>
    </row>
    <row r="108" spans="1:16" s="127" customFormat="1">
      <c r="A108" s="421" t="s">
        <v>120</v>
      </c>
      <c r="B108" s="422"/>
      <c r="C108" s="422"/>
      <c r="D108" s="422"/>
      <c r="E108" s="422"/>
      <c r="F108" s="422"/>
      <c r="G108" s="422"/>
      <c r="H108" s="423"/>
      <c r="I108" s="128">
        <f>E108-план!H113</f>
        <v>0</v>
      </c>
      <c r="J108" s="128">
        <f>D108-'1 кв'!F108-'2 кв'!F108</f>
        <v>0</v>
      </c>
      <c r="K108" s="128"/>
      <c r="L108" s="128"/>
      <c r="M108" s="128"/>
      <c r="N108" s="128"/>
      <c r="O108" s="128"/>
      <c r="P108" s="128"/>
    </row>
    <row r="109" spans="1:16" s="127" customFormat="1">
      <c r="A109" s="167" t="s">
        <v>121</v>
      </c>
      <c r="B109" s="168">
        <v>8000</v>
      </c>
      <c r="C109" s="152">
        <f>C110+C111+C112+C113+C114+C115</f>
        <v>84</v>
      </c>
      <c r="D109" s="152">
        <f>D110+D111+D112+D113+D114+D115</f>
        <v>0</v>
      </c>
      <c r="E109" s="152">
        <f>E110+E111+E112+E113+E114+E115</f>
        <v>1162.5</v>
      </c>
      <c r="F109" s="152">
        <f>F110+F111+F112+F113+F114+F115</f>
        <v>0</v>
      </c>
      <c r="G109" s="152">
        <f t="shared" ref="G109:G120" si="5">F109-E109</f>
        <v>-1162.5</v>
      </c>
      <c r="H109" s="153"/>
      <c r="I109" s="128">
        <f>E109-план!H114</f>
        <v>0</v>
      </c>
      <c r="J109" s="128">
        <f>D109-'1 кв'!F109-'2 кв'!F109</f>
        <v>0</v>
      </c>
      <c r="K109" s="128"/>
      <c r="L109" s="128"/>
      <c r="M109" s="128"/>
      <c r="N109" s="128"/>
      <c r="O109" s="128"/>
      <c r="P109" s="128"/>
    </row>
    <row r="110" spans="1:16" s="127" customFormat="1">
      <c r="A110" s="164" t="s">
        <v>122</v>
      </c>
      <c r="B110" s="168">
        <v>8010</v>
      </c>
      <c r="C110" s="189">
        <f>'2023'!D110</f>
        <v>0</v>
      </c>
      <c r="D110" s="149"/>
      <c r="E110" s="149"/>
      <c r="F110" s="149"/>
      <c r="G110" s="152">
        <f t="shared" si="5"/>
        <v>0</v>
      </c>
      <c r="H110" s="153"/>
      <c r="I110" s="128">
        <f>E110-план!H115</f>
        <v>0</v>
      </c>
      <c r="J110" s="128">
        <f>D110-'1 кв'!F110-'2 кв'!F110</f>
        <v>0</v>
      </c>
      <c r="K110" s="128"/>
      <c r="L110" s="128"/>
      <c r="M110" s="128"/>
      <c r="N110" s="128"/>
      <c r="O110" s="128"/>
      <c r="P110" s="128"/>
    </row>
    <row r="111" spans="1:16" s="127" customFormat="1">
      <c r="A111" s="164" t="s">
        <v>123</v>
      </c>
      <c r="B111" s="168">
        <v>8020</v>
      </c>
      <c r="C111" s="189">
        <f>'2023'!D111</f>
        <v>0</v>
      </c>
      <c r="D111" s="149"/>
      <c r="E111" s="196">
        <f>план!H116</f>
        <v>1162.5</v>
      </c>
      <c r="F111" s="149"/>
      <c r="G111" s="152">
        <f t="shared" si="5"/>
        <v>-1162.5</v>
      </c>
      <c r="H111" s="153"/>
      <c r="I111" s="128">
        <f>E111-план!H116</f>
        <v>0</v>
      </c>
      <c r="J111" s="128">
        <f>D111-'1 кв'!F111-'2 кв'!F111</f>
        <v>0</v>
      </c>
      <c r="K111" s="128"/>
      <c r="L111" s="128"/>
      <c r="M111" s="128"/>
      <c r="N111" s="128"/>
      <c r="O111" s="128"/>
      <c r="P111" s="128"/>
    </row>
    <row r="112" spans="1:16" s="127" customFormat="1" ht="21" customHeight="1">
      <c r="A112" s="164" t="s">
        <v>124</v>
      </c>
      <c r="B112" s="168">
        <v>8030</v>
      </c>
      <c r="C112" s="189">
        <f>'2023'!D112</f>
        <v>84</v>
      </c>
      <c r="D112" s="149"/>
      <c r="E112" s="149"/>
      <c r="F112" s="149"/>
      <c r="G112" s="152">
        <f t="shared" si="5"/>
        <v>0</v>
      </c>
      <c r="H112" s="153"/>
      <c r="I112" s="128">
        <f>E112-план!H117</f>
        <v>0</v>
      </c>
      <c r="J112" s="128">
        <f>D112-'1 кв'!F112-'2 кв'!F112</f>
        <v>0</v>
      </c>
      <c r="K112" s="128"/>
      <c r="L112" s="128"/>
      <c r="M112" s="128"/>
      <c r="N112" s="128"/>
      <c r="O112" s="128"/>
      <c r="P112" s="128"/>
    </row>
    <row r="113" spans="1:16" s="127" customFormat="1">
      <c r="A113" s="164" t="s">
        <v>125</v>
      </c>
      <c r="B113" s="168">
        <v>8040</v>
      </c>
      <c r="C113" s="189">
        <f>'2023'!D113</f>
        <v>0</v>
      </c>
      <c r="D113" s="149"/>
      <c r="E113" s="149"/>
      <c r="F113" s="149"/>
      <c r="G113" s="152">
        <f t="shared" si="5"/>
        <v>0</v>
      </c>
      <c r="H113" s="153"/>
      <c r="I113" s="128">
        <f>E113-план!H118</f>
        <v>0</v>
      </c>
      <c r="J113" s="128">
        <f>D113-'1 кв'!F113-'2 кв'!F113</f>
        <v>0</v>
      </c>
      <c r="K113" s="128"/>
      <c r="L113" s="128"/>
      <c r="M113" s="128"/>
      <c r="N113" s="128"/>
      <c r="O113" s="128"/>
      <c r="P113" s="128"/>
    </row>
    <row r="114" spans="1:16" s="127" customFormat="1" ht="31.5">
      <c r="A114" s="164" t="s">
        <v>126</v>
      </c>
      <c r="B114" s="168">
        <v>8050</v>
      </c>
      <c r="C114" s="189">
        <f>'2023'!D114</f>
        <v>0</v>
      </c>
      <c r="D114" s="149"/>
      <c r="E114" s="149"/>
      <c r="F114" s="149"/>
      <c r="G114" s="152">
        <f t="shared" si="5"/>
        <v>0</v>
      </c>
      <c r="H114" s="153"/>
      <c r="I114" s="128">
        <f>E114-план!H119</f>
        <v>0</v>
      </c>
      <c r="J114" s="128">
        <f>D114-'1 кв'!F114-'2 кв'!F114</f>
        <v>0</v>
      </c>
      <c r="K114" s="128"/>
      <c r="L114" s="128"/>
      <c r="M114" s="128"/>
      <c r="N114" s="128"/>
      <c r="O114" s="128"/>
      <c r="P114" s="128"/>
    </row>
    <row r="115" spans="1:16" s="127" customFormat="1">
      <c r="A115" s="164" t="s">
        <v>127</v>
      </c>
      <c r="B115" s="169">
        <v>8060</v>
      </c>
      <c r="C115" s="189">
        <f>'2023'!D115</f>
        <v>0</v>
      </c>
      <c r="D115" s="149"/>
      <c r="E115" s="149"/>
      <c r="F115" s="149"/>
      <c r="G115" s="152">
        <f t="shared" si="5"/>
        <v>0</v>
      </c>
      <c r="H115" s="153"/>
      <c r="I115" s="128">
        <f>E115-план!H120</f>
        <v>0</v>
      </c>
      <c r="J115" s="128">
        <f>D115-'1 кв'!F115-'2 кв'!F115</f>
        <v>0</v>
      </c>
      <c r="K115" s="128"/>
      <c r="L115" s="128"/>
      <c r="M115" s="128"/>
      <c r="N115" s="128"/>
      <c r="O115" s="128"/>
      <c r="P115" s="128"/>
    </row>
    <row r="116" spans="1:16" s="127" customFormat="1" ht="18.75" customHeight="1">
      <c r="A116" s="167" t="s">
        <v>128</v>
      </c>
      <c r="B116" s="169">
        <v>8100</v>
      </c>
      <c r="C116" s="152">
        <f>C117+C118+C119+C120</f>
        <v>0</v>
      </c>
      <c r="D116" s="152">
        <f>D117+D118+D119+D120</f>
        <v>0</v>
      </c>
      <c r="E116" s="152">
        <f>E117+E118+E119+E120</f>
        <v>0</v>
      </c>
      <c r="F116" s="152">
        <f>F117+F118+F119+F120</f>
        <v>0</v>
      </c>
      <c r="G116" s="152">
        <f t="shared" si="5"/>
        <v>0</v>
      </c>
      <c r="H116" s="153"/>
      <c r="I116" s="128">
        <f>E116-план!H121</f>
        <v>0</v>
      </c>
      <c r="J116" s="128">
        <f>D116-'1 кв'!F116-'2 кв'!F116</f>
        <v>0</v>
      </c>
      <c r="K116" s="128"/>
      <c r="L116" s="128"/>
      <c r="M116" s="128"/>
      <c r="N116" s="128"/>
      <c r="O116" s="128"/>
      <c r="P116" s="128"/>
    </row>
    <row r="117" spans="1:16" s="127" customFormat="1">
      <c r="A117" s="165" t="s">
        <v>129</v>
      </c>
      <c r="B117" s="169" t="s">
        <v>130</v>
      </c>
      <c r="C117" s="149"/>
      <c r="D117" s="149"/>
      <c r="E117" s="149"/>
      <c r="F117" s="149"/>
      <c r="G117" s="152">
        <f t="shared" si="5"/>
        <v>0</v>
      </c>
      <c r="H117" s="153"/>
      <c r="I117" s="128"/>
      <c r="J117" s="128">
        <f>D117-'1 кв'!F117-'2 кв'!F117</f>
        <v>0</v>
      </c>
      <c r="K117" s="128"/>
      <c r="L117" s="128"/>
      <c r="M117" s="128"/>
      <c r="N117" s="128"/>
      <c r="O117" s="128"/>
      <c r="P117" s="128"/>
    </row>
    <row r="118" spans="1:16" s="127" customFormat="1">
      <c r="A118" s="165" t="s">
        <v>131</v>
      </c>
      <c r="B118" s="169" t="s">
        <v>132</v>
      </c>
      <c r="C118" s="149"/>
      <c r="D118" s="149"/>
      <c r="E118" s="149"/>
      <c r="F118" s="149"/>
      <c r="G118" s="152">
        <f t="shared" si="5"/>
        <v>0</v>
      </c>
      <c r="H118" s="153"/>
      <c r="I118" s="128"/>
      <c r="J118" s="128">
        <f>D118-'1 кв'!F118-'2 кв'!F118</f>
        <v>0</v>
      </c>
      <c r="K118" s="128"/>
      <c r="L118" s="128"/>
      <c r="M118" s="128"/>
      <c r="N118" s="128"/>
      <c r="O118" s="128"/>
      <c r="P118" s="128"/>
    </row>
    <row r="119" spans="1:16" s="127" customFormat="1">
      <c r="A119" s="165" t="s">
        <v>133</v>
      </c>
      <c r="B119" s="169" t="s">
        <v>134</v>
      </c>
      <c r="C119" s="149"/>
      <c r="D119" s="149"/>
      <c r="E119" s="149"/>
      <c r="F119" s="149"/>
      <c r="G119" s="152">
        <f t="shared" si="5"/>
        <v>0</v>
      </c>
      <c r="H119" s="153"/>
      <c r="I119" s="128"/>
      <c r="J119" s="128">
        <f>D119-'1 кв'!F119-'2 кв'!F119</f>
        <v>0</v>
      </c>
      <c r="K119" s="128"/>
      <c r="L119" s="128"/>
      <c r="M119" s="128"/>
      <c r="N119" s="128"/>
      <c r="O119" s="128"/>
      <c r="P119" s="128"/>
    </row>
    <row r="120" spans="1:16" s="127" customFormat="1">
      <c r="A120" s="165" t="s">
        <v>135</v>
      </c>
      <c r="B120" s="169" t="s">
        <v>136</v>
      </c>
      <c r="C120" s="149"/>
      <c r="D120" s="149"/>
      <c r="E120" s="149"/>
      <c r="F120" s="149"/>
      <c r="G120" s="152">
        <f t="shared" si="5"/>
        <v>0</v>
      </c>
      <c r="H120" s="153"/>
      <c r="I120" s="128"/>
      <c r="J120" s="128">
        <f>D120-'1 кв'!F120-'2 кв'!F120</f>
        <v>0</v>
      </c>
      <c r="K120" s="128"/>
      <c r="L120" s="128"/>
      <c r="M120" s="128"/>
      <c r="N120" s="128"/>
      <c r="O120" s="128"/>
      <c r="P120" s="128"/>
    </row>
    <row r="121" spans="1:16" s="127" customFormat="1">
      <c r="A121" s="424" t="s">
        <v>137</v>
      </c>
      <c r="B121" s="425"/>
      <c r="C121" s="425"/>
      <c r="D121" s="425"/>
      <c r="E121" s="425"/>
      <c r="F121" s="425"/>
      <c r="G121" s="425"/>
      <c r="H121" s="426"/>
      <c r="I121" s="128"/>
      <c r="J121" s="128">
        <f>D121-'1 кв'!F121-'2 кв'!F121</f>
        <v>0</v>
      </c>
      <c r="K121" s="128"/>
      <c r="L121" s="128"/>
      <c r="M121" s="128"/>
      <c r="N121" s="128"/>
      <c r="O121" s="128"/>
      <c r="P121" s="128"/>
    </row>
    <row r="122" spans="1:16" s="127" customFormat="1">
      <c r="A122" s="166" t="s">
        <v>138</v>
      </c>
      <c r="B122" s="143">
        <v>9010</v>
      </c>
      <c r="C122" s="170">
        <f>C92/C32</f>
        <v>-0.15495436647232991</v>
      </c>
      <c r="D122" s="170">
        <f>D92/D32</f>
        <v>5.5267831224493129E-2</v>
      </c>
      <c r="E122" s="170">
        <f>E92/E32</f>
        <v>0</v>
      </c>
      <c r="F122" s="170">
        <f>F92/F32</f>
        <v>4.2246675520447204E-2</v>
      </c>
      <c r="G122" s="170"/>
      <c r="H122" s="148"/>
      <c r="I122" s="128"/>
      <c r="J122" s="128">
        <f>D122-'1 кв'!F122-'2 кв'!F122</f>
        <v>1.3021155704045925E-2</v>
      </c>
      <c r="K122" s="128"/>
      <c r="L122" s="128"/>
      <c r="M122" s="128"/>
      <c r="N122" s="128"/>
      <c r="O122" s="128"/>
      <c r="P122" s="128"/>
    </row>
    <row r="123" spans="1:16" s="127" customFormat="1">
      <c r="A123" s="166" t="s">
        <v>139</v>
      </c>
      <c r="B123" s="143">
        <v>9020</v>
      </c>
      <c r="C123" s="170">
        <f>C92/C135*100</f>
        <v>-41.170500932659294</v>
      </c>
      <c r="D123" s="170">
        <f>D92/D135*100</f>
        <v>16.463123092573706</v>
      </c>
      <c r="E123" s="170"/>
      <c r="F123" s="170">
        <f>F92/F135*100</f>
        <v>6.2294506612411222</v>
      </c>
      <c r="G123" s="170"/>
      <c r="H123" s="148"/>
      <c r="I123" s="128">
        <f>C123-'2023'!D123</f>
        <v>0</v>
      </c>
      <c r="J123" s="128">
        <f>D123-'1 кв'!F123-'2 кв'!F123</f>
        <v>10.233672431332584</v>
      </c>
      <c r="K123" s="128"/>
      <c r="L123" s="128"/>
      <c r="M123" s="128"/>
      <c r="N123" s="128"/>
      <c r="O123" s="128"/>
      <c r="P123" s="128"/>
    </row>
    <row r="124" spans="1:16" s="127" customFormat="1">
      <c r="A124" s="166" t="s">
        <v>140</v>
      </c>
      <c r="B124" s="143">
        <v>9030</v>
      </c>
      <c r="C124" s="170">
        <f>C92/C141*100</f>
        <v>76.410516281170061</v>
      </c>
      <c r="D124" s="170">
        <f>D92/D141*100</f>
        <v>28.647990794830864</v>
      </c>
      <c r="E124" s="170"/>
      <c r="F124" s="170">
        <f>F92/F141*100</f>
        <v>10.840060187643871</v>
      </c>
      <c r="G124" s="170"/>
      <c r="H124" s="148"/>
      <c r="I124" s="128">
        <f>C124-'2023'!D124</f>
        <v>0</v>
      </c>
      <c r="J124" s="128">
        <f>D124-'1 кв'!F124-'2 кв'!F124</f>
        <v>17.807930607186993</v>
      </c>
      <c r="K124" s="128"/>
      <c r="L124" s="128"/>
      <c r="M124" s="128"/>
      <c r="N124" s="128"/>
      <c r="O124" s="128"/>
      <c r="P124" s="128"/>
    </row>
    <row r="125" spans="1:16" s="127" customFormat="1">
      <c r="A125" s="166" t="s">
        <v>141</v>
      </c>
      <c r="B125" s="143">
        <v>9040</v>
      </c>
      <c r="C125" s="170">
        <f>C141/(C136+C137)</f>
        <v>-0.3501458135694458</v>
      </c>
      <c r="D125" s="170">
        <f>D141/(D136+D137)</f>
        <v>1.3511121741210235</v>
      </c>
      <c r="E125" s="170"/>
      <c r="F125" s="170">
        <f>F141/(F136+F137)</f>
        <v>1.3511121741210235</v>
      </c>
      <c r="G125" s="170"/>
      <c r="H125" s="148"/>
      <c r="I125" s="128">
        <f>C125-'2023'!D125</f>
        <v>0</v>
      </c>
      <c r="J125" s="128">
        <f>D125-'1 кв'!F125-'2 кв'!F125</f>
        <v>0</v>
      </c>
      <c r="K125" s="128"/>
      <c r="L125" s="128"/>
      <c r="M125" s="128"/>
      <c r="N125" s="128"/>
      <c r="O125" s="128"/>
      <c r="P125" s="128"/>
    </row>
    <row r="126" spans="1:16" s="127" customFormat="1">
      <c r="A126" s="166" t="s">
        <v>142</v>
      </c>
      <c r="B126" s="143">
        <v>9050</v>
      </c>
      <c r="C126" s="170">
        <f>C131/C130</f>
        <v>0.68235871031016304</v>
      </c>
      <c r="D126" s="170">
        <f>D131/D130</f>
        <v>0.72100282659456805</v>
      </c>
      <c r="E126" s="170"/>
      <c r="F126" s="170">
        <f>F131/F130</f>
        <v>0.72100282659456805</v>
      </c>
      <c r="G126" s="170"/>
      <c r="H126" s="148"/>
      <c r="I126" s="128">
        <f>C126-'2023'!D126</f>
        <v>0</v>
      </c>
      <c r="J126" s="128">
        <f>D126-'1 кв'!F126-'2 кв'!F126</f>
        <v>0</v>
      </c>
      <c r="K126" s="128"/>
      <c r="L126" s="128"/>
      <c r="M126" s="128"/>
      <c r="N126" s="128"/>
      <c r="O126" s="128"/>
      <c r="P126" s="128"/>
    </row>
    <row r="127" spans="1:16" s="127" customFormat="1">
      <c r="A127" s="418" t="s">
        <v>143</v>
      </c>
      <c r="B127" s="419"/>
      <c r="C127" s="419"/>
      <c r="D127" s="419"/>
      <c r="E127" s="419"/>
      <c r="F127" s="419"/>
      <c r="G127" s="419"/>
      <c r="H127" s="420"/>
      <c r="I127" s="128">
        <f>C127-'2023'!D127</f>
        <v>0</v>
      </c>
      <c r="J127" s="128">
        <f>D127-'1 кв'!F127-'2 кв'!F127</f>
        <v>0</v>
      </c>
      <c r="K127" s="128"/>
      <c r="L127" s="128"/>
      <c r="M127" s="128"/>
      <c r="N127" s="128"/>
      <c r="O127" s="128"/>
      <c r="P127" s="128"/>
    </row>
    <row r="128" spans="1:16" s="127" customFormat="1">
      <c r="A128" s="166" t="s">
        <v>144</v>
      </c>
      <c r="B128" s="143">
        <v>10000</v>
      </c>
      <c r="C128" s="189">
        <f>C129</f>
        <v>2591</v>
      </c>
      <c r="D128" s="189">
        <v>2354.1999999999998</v>
      </c>
      <c r="E128" s="189">
        <f>E129</f>
        <v>0</v>
      </c>
      <c r="F128" s="293">
        <f>D128</f>
        <v>2354.1999999999998</v>
      </c>
      <c r="G128" s="196">
        <f>D128-E128</f>
        <v>2354.1999999999998</v>
      </c>
      <c r="H128" s="148"/>
      <c r="I128" s="128">
        <f>C128-'2023'!D128</f>
        <v>0</v>
      </c>
      <c r="J128" s="128">
        <f>D128-'1 кв'!F128-'2 кв'!F128</f>
        <v>-2386.8000000000002</v>
      </c>
      <c r="K128" s="128"/>
      <c r="L128" s="128"/>
      <c r="M128" s="128"/>
      <c r="N128" s="128"/>
      <c r="O128" s="128"/>
      <c r="P128" s="128"/>
    </row>
    <row r="129" spans="1:16" s="127" customFormat="1">
      <c r="A129" s="166" t="s">
        <v>145</v>
      </c>
      <c r="B129" s="143">
        <v>10001</v>
      </c>
      <c r="C129" s="191">
        <f>'2023'!D129</f>
        <v>2591</v>
      </c>
      <c r="D129" s="191">
        <f>D130-D131</f>
        <v>2270.1999999999998</v>
      </c>
      <c r="E129" s="191">
        <f>E130-E131</f>
        <v>0</v>
      </c>
      <c r="F129" s="293">
        <f>D129</f>
        <v>2270.1999999999998</v>
      </c>
      <c r="G129" s="196">
        <f t="shared" ref="G129:G140" si="6">D129-E129</f>
        <v>2270.1999999999998</v>
      </c>
      <c r="H129" s="148"/>
      <c r="I129" s="128">
        <f>C129-'2023'!D129</f>
        <v>0</v>
      </c>
      <c r="J129" s="128">
        <f>D129-'1 кв'!F129-'2 кв'!F129</f>
        <v>-2383.9000000000005</v>
      </c>
      <c r="K129" s="128"/>
      <c r="L129" s="128"/>
      <c r="M129" s="128"/>
      <c r="N129" s="128"/>
      <c r="O129" s="128"/>
      <c r="P129" s="128"/>
    </row>
    <row r="130" spans="1:16" s="127" customFormat="1">
      <c r="A130" s="166" t="s">
        <v>146</v>
      </c>
      <c r="B130" s="143">
        <v>10002</v>
      </c>
      <c r="C130" s="191">
        <f>'2023'!D130</f>
        <v>8157</v>
      </c>
      <c r="D130" s="188">
        <v>8137</v>
      </c>
      <c r="E130" s="189"/>
      <c r="F130" s="293">
        <f>D130</f>
        <v>8137</v>
      </c>
      <c r="G130" s="196">
        <f t="shared" si="6"/>
        <v>8137</v>
      </c>
      <c r="H130" s="148"/>
      <c r="I130" s="128">
        <f>C130-'2023'!D130</f>
        <v>0</v>
      </c>
      <c r="J130" s="128">
        <f>D130-'1 кв'!F130-'2 кв'!F130</f>
        <v>-8085.1</v>
      </c>
      <c r="K130" s="128"/>
      <c r="L130" s="128"/>
      <c r="M130" s="128"/>
      <c r="N130" s="128"/>
      <c r="O130" s="128"/>
      <c r="P130" s="128"/>
    </row>
    <row r="131" spans="1:16" s="127" customFormat="1">
      <c r="A131" s="166" t="s">
        <v>147</v>
      </c>
      <c r="B131" s="143">
        <v>10003</v>
      </c>
      <c r="C131" s="191">
        <f>'2023'!D131</f>
        <v>5566</v>
      </c>
      <c r="D131" s="188">
        <v>5866.8</v>
      </c>
      <c r="E131" s="189"/>
      <c r="F131" s="293">
        <f t="shared" ref="F131:F137" si="7">D131</f>
        <v>5866.8</v>
      </c>
      <c r="G131" s="196">
        <f t="shared" si="6"/>
        <v>5866.8</v>
      </c>
      <c r="H131" s="148"/>
      <c r="I131" s="128">
        <f>C131-'2023'!D131</f>
        <v>0</v>
      </c>
      <c r="J131" s="128">
        <f>D131-'1 кв'!F131-'2 кв'!F131</f>
        <v>-5701.2</v>
      </c>
      <c r="K131" s="128"/>
      <c r="L131" s="128"/>
      <c r="M131" s="128"/>
      <c r="N131" s="128"/>
      <c r="O131" s="128"/>
      <c r="P131" s="128"/>
    </row>
    <row r="132" spans="1:16" s="127" customFormat="1">
      <c r="A132" s="166" t="s">
        <v>148</v>
      </c>
      <c r="B132" s="143">
        <v>10010</v>
      </c>
      <c r="C132" s="191">
        <f>C133+C134</f>
        <v>1108.1000000000001</v>
      </c>
      <c r="D132" s="293">
        <v>1577.8</v>
      </c>
      <c r="E132" s="293">
        <f>E133+E134</f>
        <v>0</v>
      </c>
      <c r="F132" s="293">
        <f t="shared" si="7"/>
        <v>1577.8</v>
      </c>
      <c r="G132" s="196">
        <f t="shared" si="6"/>
        <v>1577.8</v>
      </c>
      <c r="H132" s="148"/>
      <c r="I132" s="128">
        <f>C132-'2023'!D132</f>
        <v>0</v>
      </c>
      <c r="J132" s="128">
        <f>D132-'1 кв'!F132-'2 кв'!F132</f>
        <v>-1327.8</v>
      </c>
      <c r="K132" s="128"/>
      <c r="L132" s="128"/>
      <c r="M132" s="128"/>
      <c r="N132" s="128"/>
      <c r="O132" s="128"/>
      <c r="P132" s="128"/>
    </row>
    <row r="133" spans="1:16" s="127" customFormat="1">
      <c r="A133" s="166" t="s">
        <v>149</v>
      </c>
      <c r="B133" s="143">
        <v>10011</v>
      </c>
      <c r="C133" s="191">
        <f>'2023'!D133</f>
        <v>1084.2</v>
      </c>
      <c r="D133" s="293">
        <f>724.6+750.6</f>
        <v>1475.2</v>
      </c>
      <c r="E133" s="189"/>
      <c r="F133" s="293">
        <f t="shared" si="7"/>
        <v>1475.2</v>
      </c>
      <c r="G133" s="196">
        <f t="shared" si="6"/>
        <v>1475.2</v>
      </c>
      <c r="H133" s="148"/>
      <c r="I133" s="128">
        <f>C133-'2023'!D133</f>
        <v>0</v>
      </c>
      <c r="J133" s="128">
        <f>D133-'1 кв'!F133-'2 кв'!F133</f>
        <v>-565</v>
      </c>
      <c r="K133" s="128"/>
      <c r="L133" s="128"/>
      <c r="M133" s="128"/>
      <c r="N133" s="128"/>
      <c r="O133" s="128"/>
      <c r="P133" s="128"/>
    </row>
    <row r="134" spans="1:16" s="127" customFormat="1">
      <c r="A134" s="166" t="s">
        <v>150</v>
      </c>
      <c r="B134" s="143">
        <v>10012</v>
      </c>
      <c r="C134" s="191">
        <f>'2023'!D134</f>
        <v>23.9</v>
      </c>
      <c r="D134" s="293">
        <f>8.9+90.7</f>
        <v>99.600000000000009</v>
      </c>
      <c r="E134" s="189"/>
      <c r="F134" s="293">
        <f t="shared" si="7"/>
        <v>99.600000000000009</v>
      </c>
      <c r="G134" s="196">
        <f t="shared" si="6"/>
        <v>99.600000000000009</v>
      </c>
      <c r="H134" s="148"/>
      <c r="I134" s="128">
        <f>C134-'2023'!D134</f>
        <v>0</v>
      </c>
      <c r="J134" s="128">
        <f>D134-'1 кв'!F134-'2 кв'!F134</f>
        <v>-30.299999999999997</v>
      </c>
      <c r="K134" s="128"/>
      <c r="L134" s="128"/>
      <c r="M134" s="128"/>
      <c r="N134" s="128"/>
      <c r="O134" s="128"/>
      <c r="P134" s="128"/>
    </row>
    <row r="135" spans="1:16" s="127" customFormat="1">
      <c r="A135" s="167" t="s">
        <v>151</v>
      </c>
      <c r="B135" s="143">
        <v>10020</v>
      </c>
      <c r="C135" s="197">
        <f>C128+C132</f>
        <v>3699.1000000000004</v>
      </c>
      <c r="D135" s="295">
        <f>D128+D132</f>
        <v>3932</v>
      </c>
      <c r="E135" s="296">
        <f>E128+E132</f>
        <v>0</v>
      </c>
      <c r="F135" s="296">
        <f>F128+F132</f>
        <v>3932</v>
      </c>
      <c r="G135" s="196">
        <f t="shared" si="6"/>
        <v>3932</v>
      </c>
      <c r="H135" s="148"/>
      <c r="I135" s="128">
        <f>C135-'2023'!D135</f>
        <v>0</v>
      </c>
      <c r="J135" s="128">
        <f>D135-'1 кв'!F135-'2 кв'!F135</f>
        <v>-3714.6000000000004</v>
      </c>
      <c r="K135" s="128"/>
      <c r="L135" s="128"/>
      <c r="M135" s="128"/>
      <c r="N135" s="128"/>
      <c r="O135" s="128"/>
      <c r="P135" s="128"/>
    </row>
    <row r="136" spans="1:16" s="127" customFormat="1">
      <c r="A136" s="166" t="s">
        <v>152</v>
      </c>
      <c r="B136" s="143">
        <v>10030</v>
      </c>
      <c r="C136" s="191">
        <f>'2023'!D136</f>
        <v>7.8</v>
      </c>
      <c r="D136" s="293">
        <v>7.3</v>
      </c>
      <c r="E136" s="189">
        <f>план!F136</f>
        <v>0</v>
      </c>
      <c r="F136" s="293">
        <f t="shared" si="7"/>
        <v>7.3</v>
      </c>
      <c r="G136" s="196">
        <f t="shared" si="6"/>
        <v>7.3</v>
      </c>
      <c r="H136" s="148"/>
      <c r="I136" s="128">
        <f>C136-'2023'!D136</f>
        <v>0</v>
      </c>
      <c r="J136" s="128">
        <f>D136-'1 кв'!F136-'2 кв'!F136</f>
        <v>-7</v>
      </c>
      <c r="K136" s="128"/>
      <c r="L136" s="128"/>
      <c r="M136" s="128"/>
      <c r="N136" s="128"/>
      <c r="O136" s="128"/>
      <c r="P136" s="128"/>
    </row>
    <row r="137" spans="1:16" s="127" customFormat="1">
      <c r="A137" s="166" t="s">
        <v>153</v>
      </c>
      <c r="B137" s="143">
        <v>10040</v>
      </c>
      <c r="C137" s="191">
        <f>'2023'!D137</f>
        <v>5684.4</v>
      </c>
      <c r="D137" s="293">
        <f>123.3+182.4+283.8+1060.4+15.2</f>
        <v>1665.1000000000001</v>
      </c>
      <c r="E137" s="189">
        <f>план!F137</f>
        <v>0</v>
      </c>
      <c r="F137" s="293">
        <f t="shared" si="7"/>
        <v>1665.1000000000001</v>
      </c>
      <c r="G137" s="196">
        <f t="shared" si="6"/>
        <v>1665.1000000000001</v>
      </c>
      <c r="H137" s="148"/>
      <c r="I137" s="128">
        <f>C137-'2023'!D137</f>
        <v>0</v>
      </c>
      <c r="J137" s="128">
        <f>D137-'1 кв'!F137-'2 кв'!F137</f>
        <v>-1661.8</v>
      </c>
      <c r="K137" s="128"/>
      <c r="L137" s="128"/>
      <c r="M137" s="128"/>
      <c r="N137" s="128"/>
      <c r="O137" s="128"/>
      <c r="P137" s="128"/>
    </row>
    <row r="138" spans="1:16" s="127" customFormat="1">
      <c r="A138" s="167" t="s">
        <v>154</v>
      </c>
      <c r="B138" s="143">
        <v>10050</v>
      </c>
      <c r="C138" s="190">
        <f>SUM(C136:C137)</f>
        <v>5692.2</v>
      </c>
      <c r="D138" s="202">
        <f>SUM(D136:D137)</f>
        <v>1672.4</v>
      </c>
      <c r="E138" s="202">
        <f>SUM(E136:E137)</f>
        <v>0</v>
      </c>
      <c r="F138" s="202">
        <f>SUM(F136:F137)</f>
        <v>1672.4</v>
      </c>
      <c r="G138" s="196">
        <f t="shared" si="6"/>
        <v>1672.4</v>
      </c>
      <c r="H138" s="148"/>
      <c r="I138" s="128">
        <f>C138-'2023'!D138</f>
        <v>0</v>
      </c>
      <c r="J138" s="128">
        <f>D138-'1 кв'!F138-'2 кв'!F138</f>
        <v>-1668.8</v>
      </c>
      <c r="K138" s="128"/>
      <c r="L138" s="128"/>
      <c r="M138" s="128"/>
      <c r="N138" s="128"/>
      <c r="O138" s="128"/>
      <c r="P138" s="128"/>
    </row>
    <row r="139" spans="1:16" s="127" customFormat="1">
      <c r="A139" s="166" t="s">
        <v>155</v>
      </c>
      <c r="B139" s="143">
        <v>10060</v>
      </c>
      <c r="C139" s="189"/>
      <c r="D139" s="294"/>
      <c r="E139" s="294"/>
      <c r="F139" s="293"/>
      <c r="G139" s="196">
        <f t="shared" si="6"/>
        <v>0</v>
      </c>
      <c r="H139" s="148"/>
      <c r="I139" s="128">
        <f>C139-'2023'!D139</f>
        <v>0</v>
      </c>
      <c r="J139" s="128">
        <f>D139-'1 кв'!F139-'2 кв'!F139</f>
        <v>0</v>
      </c>
      <c r="K139" s="128"/>
      <c r="L139" s="128"/>
      <c r="M139" s="128"/>
      <c r="N139" s="128"/>
      <c r="O139" s="128"/>
      <c r="P139" s="128"/>
    </row>
    <row r="140" spans="1:16" s="127" customFormat="1">
      <c r="A140" s="166" t="s">
        <v>156</v>
      </c>
      <c r="B140" s="143">
        <v>10070</v>
      </c>
      <c r="C140" s="189"/>
      <c r="D140" s="294"/>
      <c r="E140" s="294"/>
      <c r="F140" s="297"/>
      <c r="G140" s="196">
        <f t="shared" si="6"/>
        <v>0</v>
      </c>
      <c r="H140" s="148"/>
      <c r="I140" s="128">
        <f>C140-'2023'!D140</f>
        <v>0</v>
      </c>
      <c r="J140" s="128">
        <f>D140-'1 кв'!F140-'2 кв'!F140</f>
        <v>0</v>
      </c>
      <c r="K140" s="128"/>
      <c r="L140" s="128"/>
      <c r="M140" s="128"/>
      <c r="N140" s="128"/>
      <c r="O140" s="128"/>
      <c r="P140" s="128"/>
    </row>
    <row r="141" spans="1:16" s="127" customFormat="1">
      <c r="A141" s="167" t="s">
        <v>157</v>
      </c>
      <c r="B141" s="143">
        <v>10080</v>
      </c>
      <c r="C141" s="284">
        <f>C135-C138</f>
        <v>-1993.0999999999995</v>
      </c>
      <c r="D141" s="284">
        <f>D135-D138</f>
        <v>2259.6</v>
      </c>
      <c r="E141" s="275">
        <f>E135-E138</f>
        <v>0</v>
      </c>
      <c r="F141" s="275">
        <f>F135-F138</f>
        <v>2259.6</v>
      </c>
      <c r="G141" s="196">
        <f>D141-E141</f>
        <v>2259.6</v>
      </c>
      <c r="H141" s="148"/>
      <c r="I141" s="128">
        <f>C141-'2023'!D141</f>
        <v>0</v>
      </c>
      <c r="J141" s="128">
        <f>D141-'1 кв'!F141-'2 кв'!F141</f>
        <v>-2045.8000000000004</v>
      </c>
      <c r="K141" s="128"/>
      <c r="L141" s="128"/>
      <c r="M141" s="128"/>
      <c r="N141" s="128"/>
      <c r="O141" s="128"/>
      <c r="P141" s="128"/>
    </row>
    <row r="142" spans="1:16" s="127" customFormat="1">
      <c r="A142" s="421" t="s">
        <v>158</v>
      </c>
      <c r="B142" s="422"/>
      <c r="C142" s="422"/>
      <c r="D142" s="422"/>
      <c r="E142" s="422"/>
      <c r="F142" s="422"/>
      <c r="G142" s="422"/>
      <c r="H142" s="423"/>
      <c r="I142" s="128">
        <f>C142-'2023'!D142</f>
        <v>0</v>
      </c>
      <c r="J142" s="128">
        <f>D142-'1 кв'!F142-'2 кв'!F142</f>
        <v>0</v>
      </c>
      <c r="K142" s="128"/>
      <c r="L142" s="128"/>
      <c r="M142" s="128"/>
      <c r="N142" s="128"/>
      <c r="O142" s="128"/>
      <c r="P142" s="128"/>
    </row>
    <row r="143" spans="1:16" s="127" customFormat="1">
      <c r="A143" s="167" t="s">
        <v>159</v>
      </c>
      <c r="B143" s="173" t="s">
        <v>160</v>
      </c>
      <c r="C143" s="180">
        <f>SUM(C144:C146)</f>
        <v>0</v>
      </c>
      <c r="D143" s="180">
        <f>SUM(D144:D146)</f>
        <v>0</v>
      </c>
      <c r="E143" s="180">
        <f>SUM(E144:E146)</f>
        <v>0</v>
      </c>
      <c r="F143" s="180">
        <f>SUM(F144:F146)</f>
        <v>0</v>
      </c>
      <c r="G143" s="180">
        <f t="shared" ref="G143:G150" si="8">F143-E143</f>
        <v>0</v>
      </c>
      <c r="H143" s="179"/>
      <c r="I143" s="128">
        <f>C143-'2023'!D143</f>
        <v>0</v>
      </c>
      <c r="J143" s="128">
        <f>D143-'1 кв'!F143-'2 кв'!F143</f>
        <v>0</v>
      </c>
      <c r="K143" s="128"/>
      <c r="L143" s="128"/>
      <c r="M143" s="128"/>
      <c r="N143" s="128"/>
      <c r="O143" s="128"/>
      <c r="P143" s="128"/>
    </row>
    <row r="144" spans="1:16" s="127" customFormat="1">
      <c r="A144" s="166" t="s">
        <v>161</v>
      </c>
      <c r="B144" s="173" t="s">
        <v>162</v>
      </c>
      <c r="C144" s="149"/>
      <c r="D144" s="149"/>
      <c r="E144" s="149"/>
      <c r="F144" s="181"/>
      <c r="G144" s="181">
        <f t="shared" si="8"/>
        <v>0</v>
      </c>
      <c r="H144" s="182"/>
      <c r="I144" s="128">
        <f>C144-'2023'!D144</f>
        <v>0</v>
      </c>
      <c r="J144" s="128">
        <f>D144-'1 кв'!F144-'2 кв'!F144</f>
        <v>0</v>
      </c>
      <c r="K144" s="128"/>
      <c r="L144" s="128"/>
      <c r="M144" s="128"/>
      <c r="N144" s="128"/>
      <c r="O144" s="128"/>
      <c r="P144" s="128"/>
    </row>
    <row r="145" spans="1:16" s="127" customFormat="1">
      <c r="A145" s="166" t="s">
        <v>163</v>
      </c>
      <c r="B145" s="173" t="s">
        <v>164</v>
      </c>
      <c r="C145" s="149"/>
      <c r="D145" s="149"/>
      <c r="E145" s="149"/>
      <c r="F145" s="181"/>
      <c r="G145" s="181">
        <f t="shared" si="8"/>
        <v>0</v>
      </c>
      <c r="H145" s="182"/>
      <c r="I145" s="128">
        <f>C145-'2023'!D145</f>
        <v>0</v>
      </c>
      <c r="J145" s="128">
        <f>D145-'1 кв'!F145-'2 кв'!F145</f>
        <v>0</v>
      </c>
      <c r="K145" s="128"/>
      <c r="L145" s="128"/>
      <c r="M145" s="128"/>
      <c r="N145" s="128"/>
      <c r="O145" s="128"/>
      <c r="P145" s="128"/>
    </row>
    <row r="146" spans="1:16" s="127" customFormat="1">
      <c r="A146" s="166" t="s">
        <v>165</v>
      </c>
      <c r="B146" s="173" t="s">
        <v>166</v>
      </c>
      <c r="C146" s="149"/>
      <c r="D146" s="149"/>
      <c r="E146" s="149"/>
      <c r="F146" s="181"/>
      <c r="G146" s="181">
        <f t="shared" si="8"/>
        <v>0</v>
      </c>
      <c r="H146" s="182"/>
      <c r="I146" s="128">
        <f>C146-'2023'!D146</f>
        <v>0</v>
      </c>
      <c r="J146" s="128">
        <f>D146-'1 кв'!F146-'2 кв'!F146</f>
        <v>0</v>
      </c>
      <c r="K146" s="128"/>
      <c r="L146" s="128"/>
      <c r="M146" s="128"/>
      <c r="N146" s="128"/>
      <c r="O146" s="128"/>
      <c r="P146" s="128"/>
    </row>
    <row r="147" spans="1:16" s="127" customFormat="1">
      <c r="A147" s="167" t="s">
        <v>167</v>
      </c>
      <c r="B147" s="173" t="s">
        <v>168</v>
      </c>
      <c r="C147" s="180">
        <f>SUM(C148:C150)</f>
        <v>0</v>
      </c>
      <c r="D147" s="180">
        <f>SUM(D148:D150)</f>
        <v>0</v>
      </c>
      <c r="E147" s="180">
        <f>SUM(E148:E150)</f>
        <v>0</v>
      </c>
      <c r="F147" s="180">
        <f>SUM(F148:F150)</f>
        <v>0</v>
      </c>
      <c r="G147" s="180">
        <f t="shared" si="8"/>
        <v>0</v>
      </c>
      <c r="H147" s="179"/>
      <c r="I147" s="128">
        <f>C147-'2023'!D147</f>
        <v>0</v>
      </c>
      <c r="J147" s="128">
        <f>D147-'1 кв'!F147-'2 кв'!F147</f>
        <v>0</v>
      </c>
      <c r="K147" s="128"/>
      <c r="L147" s="128"/>
      <c r="M147" s="128"/>
      <c r="N147" s="128"/>
      <c r="O147" s="128"/>
      <c r="P147" s="128"/>
    </row>
    <row r="148" spans="1:16" s="127" customFormat="1">
      <c r="A148" s="166" t="s">
        <v>161</v>
      </c>
      <c r="B148" s="173" t="s">
        <v>169</v>
      </c>
      <c r="C148" s="149"/>
      <c r="D148" s="149"/>
      <c r="E148" s="149"/>
      <c r="F148" s="149"/>
      <c r="G148" s="152">
        <f t="shared" si="8"/>
        <v>0</v>
      </c>
      <c r="H148" s="153"/>
      <c r="I148" s="128">
        <f>C148-'2023'!D148</f>
        <v>0</v>
      </c>
      <c r="J148" s="128">
        <f>D148-'1 кв'!F148-'2 кв'!F148</f>
        <v>0</v>
      </c>
      <c r="K148" s="128"/>
      <c r="L148" s="128"/>
      <c r="M148" s="128"/>
      <c r="N148" s="128"/>
      <c r="O148" s="128"/>
      <c r="P148" s="128"/>
    </row>
    <row r="149" spans="1:16" s="127" customFormat="1">
      <c r="A149" s="166" t="s">
        <v>163</v>
      </c>
      <c r="B149" s="173" t="s">
        <v>170</v>
      </c>
      <c r="C149" s="149"/>
      <c r="D149" s="149"/>
      <c r="E149" s="149"/>
      <c r="F149" s="149"/>
      <c r="G149" s="152">
        <f t="shared" si="8"/>
        <v>0</v>
      </c>
      <c r="H149" s="153"/>
      <c r="I149" s="128">
        <f>C149-'2023'!D149</f>
        <v>0</v>
      </c>
      <c r="J149" s="128">
        <f>D149-'1 кв'!F149-'2 кв'!F149</f>
        <v>0</v>
      </c>
      <c r="K149" s="128"/>
      <c r="L149" s="128"/>
      <c r="M149" s="128"/>
      <c r="N149" s="128"/>
      <c r="O149" s="128"/>
      <c r="P149" s="128"/>
    </row>
    <row r="150" spans="1:16" s="127" customFormat="1">
      <c r="A150" s="166" t="s">
        <v>165</v>
      </c>
      <c r="B150" s="173" t="s">
        <v>171</v>
      </c>
      <c r="C150" s="149"/>
      <c r="D150" s="149"/>
      <c r="E150" s="149"/>
      <c r="F150" s="149"/>
      <c r="G150" s="152">
        <f t="shared" si="8"/>
        <v>0</v>
      </c>
      <c r="H150" s="153"/>
      <c r="I150" s="128">
        <f>C150-'2023'!D150</f>
        <v>0</v>
      </c>
      <c r="J150" s="128">
        <f>D150-'1 кв'!F150-'2 кв'!F150</f>
        <v>0</v>
      </c>
      <c r="K150" s="128"/>
      <c r="L150" s="128"/>
      <c r="M150" s="128"/>
      <c r="N150" s="128"/>
      <c r="O150" s="128"/>
      <c r="P150" s="128"/>
    </row>
    <row r="151" spans="1:16" s="127" customFormat="1">
      <c r="A151" s="418" t="s">
        <v>172</v>
      </c>
      <c r="B151" s="419"/>
      <c r="C151" s="419"/>
      <c r="D151" s="419"/>
      <c r="E151" s="419"/>
      <c r="F151" s="419"/>
      <c r="G151" s="419"/>
      <c r="H151" s="420"/>
      <c r="I151" s="128">
        <f>C151-'2023'!D151</f>
        <v>0</v>
      </c>
      <c r="J151" s="128">
        <f>D151-'1 кв'!F151-'2 кв'!F151</f>
        <v>0</v>
      </c>
      <c r="K151" s="128"/>
      <c r="L151" s="128"/>
      <c r="M151" s="128"/>
      <c r="N151" s="128"/>
      <c r="O151" s="128"/>
      <c r="P151" s="128"/>
    </row>
    <row r="152" spans="1:16" s="127" customFormat="1" ht="52.5" customHeight="1">
      <c r="A152" s="167" t="s">
        <v>257</v>
      </c>
      <c r="B152" s="173" t="s">
        <v>174</v>
      </c>
      <c r="C152" s="152">
        <f>C153+C154+C155+C156+C157+C158</f>
        <v>106.75</v>
      </c>
      <c r="D152" s="152">
        <f>D153+D154+D155+D156+D157+D158</f>
        <v>108.5</v>
      </c>
      <c r="E152" s="152">
        <f>E153+E154+E155+E156+E157+E158</f>
        <v>120</v>
      </c>
      <c r="F152" s="152">
        <f>F153+F154+F155+F156+F157+F158</f>
        <v>108</v>
      </c>
      <c r="G152" s="152">
        <f t="shared" ref="G152:G180" si="9">F152-E152</f>
        <v>-12</v>
      </c>
      <c r="H152" s="185">
        <f t="shared" ref="H152:H179" si="10">(F152/E152)*100</f>
        <v>90</v>
      </c>
      <c r="I152" s="128">
        <f>C152-'2023'!D152</f>
        <v>0</v>
      </c>
      <c r="J152" s="128"/>
      <c r="K152" s="128"/>
      <c r="L152" s="128"/>
      <c r="M152" s="128"/>
      <c r="N152" s="128"/>
      <c r="O152" s="128"/>
      <c r="P152" s="128"/>
    </row>
    <row r="153" spans="1:16" s="127" customFormat="1">
      <c r="A153" s="164" t="s">
        <v>175</v>
      </c>
      <c r="B153" s="173" t="s">
        <v>176</v>
      </c>
      <c r="C153" s="196">
        <f>'2023'!D153</f>
        <v>1</v>
      </c>
      <c r="D153" s="196">
        <f>(F153+'1 кв'!D153)/2</f>
        <v>1</v>
      </c>
      <c r="E153" s="189">
        <f>план!H153</f>
        <v>1</v>
      </c>
      <c r="F153" s="196">
        <v>1</v>
      </c>
      <c r="G153" s="190">
        <f t="shared" si="9"/>
        <v>0</v>
      </c>
      <c r="H153" s="283">
        <f t="shared" si="10"/>
        <v>100</v>
      </c>
      <c r="I153" s="128">
        <f>C153-'2023'!D153</f>
        <v>0</v>
      </c>
      <c r="J153" s="128"/>
      <c r="K153" s="128"/>
      <c r="L153" s="128"/>
      <c r="M153" s="128"/>
      <c r="N153" s="128"/>
      <c r="O153" s="128"/>
      <c r="P153" s="128"/>
    </row>
    <row r="154" spans="1:16" s="127" customFormat="1">
      <c r="A154" s="164" t="s">
        <v>177</v>
      </c>
      <c r="B154" s="173" t="s">
        <v>178</v>
      </c>
      <c r="C154" s="196">
        <f>'2023'!D154</f>
        <v>4.75</v>
      </c>
      <c r="D154" s="196">
        <f>(F154+'1 кв'!D154)/2</f>
        <v>5</v>
      </c>
      <c r="E154" s="189">
        <f>план!H154</f>
        <v>5</v>
      </c>
      <c r="F154" s="196">
        <v>5</v>
      </c>
      <c r="G154" s="190">
        <f t="shared" si="9"/>
        <v>0</v>
      </c>
      <c r="H154" s="283">
        <f t="shared" si="10"/>
        <v>100</v>
      </c>
      <c r="I154" s="128">
        <f>C154-'2023'!D154</f>
        <v>0</v>
      </c>
      <c r="J154" s="128"/>
      <c r="K154" s="128"/>
      <c r="L154" s="128"/>
      <c r="M154" s="128"/>
      <c r="N154" s="128"/>
      <c r="O154" s="128"/>
      <c r="P154" s="128"/>
    </row>
    <row r="155" spans="1:16" s="127" customFormat="1">
      <c r="A155" s="164" t="s">
        <v>179</v>
      </c>
      <c r="B155" s="173" t="s">
        <v>180</v>
      </c>
      <c r="C155" s="196">
        <f>'2023'!D155</f>
        <v>32</v>
      </c>
      <c r="D155" s="196">
        <f>(F155+'1 кв'!D155)/2</f>
        <v>36</v>
      </c>
      <c r="E155" s="189">
        <f>план!H155</f>
        <v>36</v>
      </c>
      <c r="F155" s="196">
        <v>36</v>
      </c>
      <c r="G155" s="190">
        <f t="shared" si="9"/>
        <v>0</v>
      </c>
      <c r="H155" s="283">
        <f t="shared" si="10"/>
        <v>100</v>
      </c>
      <c r="I155" s="128">
        <f>C155-'2023'!D155</f>
        <v>0</v>
      </c>
      <c r="J155" s="128"/>
      <c r="K155" s="128"/>
      <c r="L155" s="128"/>
      <c r="M155" s="128"/>
      <c r="N155" s="128"/>
      <c r="O155" s="128"/>
      <c r="P155" s="128"/>
    </row>
    <row r="156" spans="1:16" s="127" customFormat="1">
      <c r="A156" s="164" t="s">
        <v>181</v>
      </c>
      <c r="B156" s="173" t="s">
        <v>182</v>
      </c>
      <c r="C156" s="196">
        <f>'2023'!D156</f>
        <v>32</v>
      </c>
      <c r="D156" s="196">
        <f>(F156+'1 кв'!D156)/2</f>
        <v>32.5</v>
      </c>
      <c r="E156" s="189">
        <f>план!H156</f>
        <v>35</v>
      </c>
      <c r="F156" s="196">
        <v>32</v>
      </c>
      <c r="G156" s="190">
        <f t="shared" si="9"/>
        <v>-3</v>
      </c>
      <c r="H156" s="283">
        <f t="shared" si="10"/>
        <v>91.428571428571431</v>
      </c>
      <c r="I156" s="128">
        <f>C156-'2023'!D156</f>
        <v>0</v>
      </c>
      <c r="J156" s="128"/>
      <c r="K156" s="128"/>
      <c r="L156" s="128"/>
      <c r="M156" s="128"/>
      <c r="N156" s="128"/>
      <c r="O156" s="128"/>
      <c r="P156" s="128"/>
    </row>
    <row r="157" spans="1:16" s="127" customFormat="1">
      <c r="A157" s="164" t="s">
        <v>183</v>
      </c>
      <c r="B157" s="173" t="s">
        <v>184</v>
      </c>
      <c r="C157" s="196">
        <f>'2023'!D157</f>
        <v>17</v>
      </c>
      <c r="D157" s="196">
        <f>(F157+'1 кв'!D157)/2</f>
        <v>16</v>
      </c>
      <c r="E157" s="189">
        <f>план!H157</f>
        <v>22</v>
      </c>
      <c r="F157" s="196">
        <v>16</v>
      </c>
      <c r="G157" s="190">
        <f t="shared" si="9"/>
        <v>-6</v>
      </c>
      <c r="H157" s="283">
        <f t="shared" si="10"/>
        <v>72.727272727272734</v>
      </c>
      <c r="I157" s="128">
        <f>C157-'2023'!D157</f>
        <v>0</v>
      </c>
      <c r="J157" s="128"/>
      <c r="K157" s="128"/>
      <c r="L157" s="128"/>
      <c r="M157" s="128"/>
      <c r="N157" s="128"/>
      <c r="O157" s="128"/>
      <c r="P157" s="128"/>
    </row>
    <row r="158" spans="1:16" s="127" customFormat="1">
      <c r="A158" s="164" t="s">
        <v>185</v>
      </c>
      <c r="B158" s="173" t="s">
        <v>186</v>
      </c>
      <c r="C158" s="196">
        <f>'2023'!D158</f>
        <v>20</v>
      </c>
      <c r="D158" s="196">
        <f>(F158+'1 кв'!D158)/2</f>
        <v>18</v>
      </c>
      <c r="E158" s="189">
        <f>план!H158</f>
        <v>21</v>
      </c>
      <c r="F158" s="196">
        <v>18</v>
      </c>
      <c r="G158" s="190">
        <f t="shared" si="9"/>
        <v>-3</v>
      </c>
      <c r="H158" s="283">
        <f t="shared" si="10"/>
        <v>85.714285714285708</v>
      </c>
      <c r="I158" s="128">
        <f>C158-'2023'!D158</f>
        <v>0</v>
      </c>
      <c r="J158" s="128"/>
      <c r="K158" s="128"/>
      <c r="L158" s="128"/>
      <c r="M158" s="128"/>
      <c r="N158" s="128"/>
      <c r="O158" s="128"/>
      <c r="P158" s="128"/>
    </row>
    <row r="159" spans="1:16" s="127" customFormat="1">
      <c r="A159" s="174" t="s">
        <v>187</v>
      </c>
      <c r="B159" s="173" t="s">
        <v>188</v>
      </c>
      <c r="C159" s="195">
        <f>C160+C161+C162+C163+C164+C165</f>
        <v>9729.0080000000016</v>
      </c>
      <c r="D159" s="195">
        <f>SUM(D160:D165)</f>
        <v>9342.9699999999993</v>
      </c>
      <c r="E159" s="195">
        <f>E160+E161+E162+E163+E164+E165</f>
        <v>6244.8932999999988</v>
      </c>
      <c r="F159" s="195">
        <f>F160+F161+F162+F163+F164+F165</f>
        <v>4672.058</v>
      </c>
      <c r="G159" s="195">
        <f t="shared" si="9"/>
        <v>-1572.8352999999988</v>
      </c>
      <c r="H159" s="185">
        <f t="shared" si="10"/>
        <v>74.814056470748682</v>
      </c>
      <c r="I159" s="128">
        <f>C159-'2023'!D159</f>
        <v>0</v>
      </c>
      <c r="J159" s="128">
        <f>D159-'1 кв'!F159-'2 кв'!F159</f>
        <v>0</v>
      </c>
      <c r="K159" s="128"/>
      <c r="L159" s="128"/>
      <c r="M159" s="128"/>
      <c r="N159" s="128"/>
      <c r="O159" s="128"/>
      <c r="P159" s="128"/>
    </row>
    <row r="160" spans="1:16" s="127" customFormat="1">
      <c r="A160" s="164" t="s">
        <v>175</v>
      </c>
      <c r="B160" s="173" t="s">
        <v>189</v>
      </c>
      <c r="C160" s="196">
        <f>'2023'!D160</f>
        <v>373.56399999999996</v>
      </c>
      <c r="D160" s="191">
        <f>F160+'1 кв'!D160</f>
        <v>372.71</v>
      </c>
      <c r="E160" s="189">
        <f>план!H160</f>
        <v>186.82469999999998</v>
      </c>
      <c r="F160" s="191">
        <f>F167*1.22</f>
        <v>185.928</v>
      </c>
      <c r="G160" s="190">
        <f t="shared" si="9"/>
        <v>-0.8966999999999814</v>
      </c>
      <c r="H160" s="283">
        <f t="shared" si="10"/>
        <v>99.520031344891763</v>
      </c>
      <c r="I160" s="128">
        <f>C160-'2023'!D160</f>
        <v>0</v>
      </c>
      <c r="J160" s="128">
        <f>D160-'1 кв'!F160-'2 кв'!F160</f>
        <v>0</v>
      </c>
      <c r="K160" s="128"/>
      <c r="L160" s="128"/>
      <c r="M160" s="128"/>
      <c r="N160" s="128"/>
      <c r="O160" s="128"/>
      <c r="P160" s="128"/>
    </row>
    <row r="161" spans="1:16" s="127" customFormat="1">
      <c r="A161" s="164" t="s">
        <v>177</v>
      </c>
      <c r="B161" s="173" t="s">
        <v>190</v>
      </c>
      <c r="C161" s="196">
        <f>'2023'!D161</f>
        <v>606.58400000000006</v>
      </c>
      <c r="D161" s="191">
        <f>F161+'1 кв'!D161</f>
        <v>694.54599999999994</v>
      </c>
      <c r="E161" s="189">
        <f>план!H161</f>
        <v>325.19100000000003</v>
      </c>
      <c r="F161" s="191">
        <f>F168*1.22</f>
        <v>369.53799999999995</v>
      </c>
      <c r="G161" s="190">
        <f t="shared" si="9"/>
        <v>44.346999999999923</v>
      </c>
      <c r="H161" s="283">
        <f t="shared" si="10"/>
        <v>113.6372162821234</v>
      </c>
      <c r="I161" s="128">
        <f>C161-'2023'!D161</f>
        <v>0</v>
      </c>
      <c r="J161" s="128">
        <f>D161-'1 кв'!F161-'2 кв'!F161</f>
        <v>0</v>
      </c>
      <c r="K161" s="128"/>
      <c r="L161" s="128"/>
      <c r="M161" s="128"/>
      <c r="N161" s="128"/>
      <c r="O161" s="128"/>
      <c r="P161" s="128"/>
    </row>
    <row r="162" spans="1:16" s="127" customFormat="1">
      <c r="A162" s="164" t="s">
        <v>179</v>
      </c>
      <c r="B162" s="173" t="s">
        <v>191</v>
      </c>
      <c r="C162" s="196">
        <f>'2023'!D162</f>
        <v>4104.5920000000006</v>
      </c>
      <c r="D162" s="191">
        <f>F162+'1 кв'!D162</f>
        <v>3772.7539999999999</v>
      </c>
      <c r="E162" s="189">
        <f>план!H162</f>
        <v>2635.2</v>
      </c>
      <c r="F162" s="191">
        <f>F169*1.22+3.5+23</f>
        <v>1891.636</v>
      </c>
      <c r="G162" s="195">
        <f t="shared" si="9"/>
        <v>-743.56399999999985</v>
      </c>
      <c r="H162" s="283">
        <f t="shared" si="10"/>
        <v>71.783394049787503</v>
      </c>
      <c r="I162" s="128">
        <f>C162-'2023'!D162</f>
        <v>0</v>
      </c>
      <c r="J162" s="128">
        <f>D162-'1 кв'!F162-'2 кв'!F162</f>
        <v>0</v>
      </c>
      <c r="K162" s="128"/>
      <c r="L162" s="128"/>
      <c r="M162" s="128"/>
      <c r="N162" s="128"/>
      <c r="O162" s="128"/>
      <c r="P162" s="128"/>
    </row>
    <row r="163" spans="1:16" s="127" customFormat="1">
      <c r="A163" s="164" t="s">
        <v>181</v>
      </c>
      <c r="B163" s="173" t="s">
        <v>192</v>
      </c>
      <c r="C163" s="196">
        <f>'2023'!D163</f>
        <v>2696.192</v>
      </c>
      <c r="D163" s="191">
        <f>F163+'1 кв'!D163</f>
        <v>2525.9719999999998</v>
      </c>
      <c r="E163" s="189">
        <f>план!H163</f>
        <v>1729.35</v>
      </c>
      <c r="F163" s="191">
        <f>F170*1.22+3.5</f>
        <v>1223.866</v>
      </c>
      <c r="G163" s="195">
        <f t="shared" si="9"/>
        <v>-505.48399999999992</v>
      </c>
      <c r="H163" s="283">
        <f t="shared" si="10"/>
        <v>70.770289415098162</v>
      </c>
      <c r="I163" s="128">
        <f>C163-'2023'!D163</f>
        <v>0</v>
      </c>
      <c r="J163" s="128">
        <f>D163-'1 кв'!F163-'2 кв'!F163</f>
        <v>0</v>
      </c>
      <c r="K163" s="128"/>
      <c r="L163" s="128"/>
      <c r="M163" s="128"/>
      <c r="N163" s="128"/>
      <c r="O163" s="128"/>
      <c r="P163" s="128"/>
    </row>
    <row r="164" spans="1:16" s="127" customFormat="1">
      <c r="A164" s="164" t="s">
        <v>183</v>
      </c>
      <c r="B164" s="173" t="s">
        <v>193</v>
      </c>
      <c r="C164" s="196">
        <f>'2023'!D164</f>
        <v>749.31399999999996</v>
      </c>
      <c r="D164" s="191">
        <f>F164+'1 кв'!D164</f>
        <v>896.92599999999993</v>
      </c>
      <c r="E164" s="189">
        <f>план!H164</f>
        <v>647.38080000000002</v>
      </c>
      <c r="F164" s="191">
        <f>F171*1.22+2.9</f>
        <v>474.79599999999999</v>
      </c>
      <c r="G164" s="195">
        <f t="shared" si="9"/>
        <v>-172.58480000000003</v>
      </c>
      <c r="H164" s="283">
        <f t="shared" si="10"/>
        <v>73.34106912036934</v>
      </c>
      <c r="I164" s="128">
        <f>C164-'2023'!D164</f>
        <v>0</v>
      </c>
      <c r="J164" s="128">
        <f>D164-'1 кв'!F164-'2 кв'!F164</f>
        <v>0</v>
      </c>
      <c r="K164" s="128"/>
      <c r="L164" s="128"/>
      <c r="M164" s="128"/>
      <c r="N164" s="128"/>
      <c r="O164" s="128"/>
      <c r="P164" s="128"/>
    </row>
    <row r="165" spans="1:16" s="127" customFormat="1">
      <c r="A165" s="164" t="s">
        <v>185</v>
      </c>
      <c r="B165" s="173" t="s">
        <v>194</v>
      </c>
      <c r="C165" s="196">
        <f>'2023'!D165</f>
        <v>1198.7619999999997</v>
      </c>
      <c r="D165" s="191">
        <f>F165+'1 кв'!D165</f>
        <v>1080.0619999999999</v>
      </c>
      <c r="E165" s="189">
        <f>план!H165</f>
        <v>720.94680000000005</v>
      </c>
      <c r="F165" s="191">
        <f>F172*1.22+4.5</f>
        <v>526.29399999999998</v>
      </c>
      <c r="G165" s="195">
        <f t="shared" si="9"/>
        <v>-194.65280000000007</v>
      </c>
      <c r="H165" s="283">
        <f t="shared" si="10"/>
        <v>73.000393371605227</v>
      </c>
      <c r="I165" s="128">
        <f>C165-'2023'!D165</f>
        <v>0</v>
      </c>
      <c r="J165" s="128">
        <f>D165-'1 кв'!F165-'2 кв'!F165</f>
        <v>0</v>
      </c>
      <c r="K165" s="128"/>
      <c r="L165" s="128"/>
      <c r="M165" s="128"/>
      <c r="N165" s="128"/>
      <c r="O165" s="128"/>
      <c r="P165" s="128"/>
    </row>
    <row r="166" spans="1:16" s="127" customFormat="1">
      <c r="A166" s="167" t="s">
        <v>195</v>
      </c>
      <c r="B166" s="173" t="s">
        <v>196</v>
      </c>
      <c r="C166" s="190">
        <f>C167+C168+C169+C170+C171+C172</f>
        <v>7914.7999999999993</v>
      </c>
      <c r="D166" s="195">
        <f>SUM(D167:D172)</f>
        <v>7618.5</v>
      </c>
      <c r="E166" s="195">
        <f>E167+E168+E169+E170+E171+E172</f>
        <v>5118.7649999999994</v>
      </c>
      <c r="F166" s="195">
        <f>F167+F168+F169+F170+F171+F172</f>
        <v>3798.8999999999996</v>
      </c>
      <c r="G166" s="195">
        <f t="shared" si="9"/>
        <v>-1319.8649999999998</v>
      </c>
      <c r="H166" s="185">
        <f t="shared" si="10"/>
        <v>74.215167135041355</v>
      </c>
      <c r="I166" s="128">
        <f>C166-'2023'!D166</f>
        <v>0</v>
      </c>
      <c r="J166" s="128">
        <f>D166-'1 кв'!F166-'2 кв'!F166</f>
        <v>0</v>
      </c>
      <c r="K166" s="128"/>
      <c r="L166" s="128"/>
      <c r="M166" s="128"/>
      <c r="N166" s="128"/>
      <c r="O166" s="128"/>
      <c r="P166" s="128"/>
    </row>
    <row r="167" spans="1:16" s="127" customFormat="1">
      <c r="A167" s="164" t="s">
        <v>175</v>
      </c>
      <c r="B167" s="173" t="s">
        <v>197</v>
      </c>
      <c r="C167" s="196">
        <f>'2023'!D167</f>
        <v>306.2</v>
      </c>
      <c r="D167" s="191">
        <f>F167+'1 кв'!D167</f>
        <v>305.5</v>
      </c>
      <c r="E167" s="189">
        <f>план!H167</f>
        <v>153.13499999999999</v>
      </c>
      <c r="F167" s="191">
        <v>152.4</v>
      </c>
      <c r="G167" s="195">
        <f t="shared" si="9"/>
        <v>-0.73499999999998522</v>
      </c>
      <c r="H167" s="283">
        <f t="shared" si="10"/>
        <v>99.520031344891763</v>
      </c>
      <c r="I167" s="128">
        <f>C167-'2023'!D167</f>
        <v>0</v>
      </c>
      <c r="J167" s="128">
        <f>D167-'1 кв'!F167-'2 кв'!F167</f>
        <v>0</v>
      </c>
      <c r="K167" s="128"/>
      <c r="L167" s="128"/>
      <c r="M167" s="128"/>
      <c r="N167" s="128"/>
      <c r="O167" s="128"/>
      <c r="P167" s="128"/>
    </row>
    <row r="168" spans="1:16" s="127" customFormat="1">
      <c r="A168" s="164" t="s">
        <v>177</v>
      </c>
      <c r="B168" s="173" t="s">
        <v>198</v>
      </c>
      <c r="C168" s="196">
        <f>'2023'!D168</f>
        <v>497.20000000000005</v>
      </c>
      <c r="D168" s="191">
        <f>F168+'1 кв'!D168</f>
        <v>569.29999999999995</v>
      </c>
      <c r="E168" s="189">
        <f>план!H168</f>
        <v>266.55</v>
      </c>
      <c r="F168" s="191">
        <v>302.89999999999998</v>
      </c>
      <c r="G168" s="195">
        <f t="shared" si="9"/>
        <v>36.349999999999966</v>
      </c>
      <c r="H168" s="283">
        <f t="shared" si="10"/>
        <v>113.63721628212342</v>
      </c>
      <c r="I168" s="128">
        <f>C168-'2023'!D168</f>
        <v>0</v>
      </c>
      <c r="J168" s="128">
        <f>D168-'1 кв'!F168-'2 кв'!F168</f>
        <v>0</v>
      </c>
      <c r="K168" s="128"/>
      <c r="L168" s="128"/>
      <c r="M168" s="128"/>
      <c r="N168" s="128"/>
      <c r="O168" s="128"/>
      <c r="P168" s="128"/>
    </row>
    <row r="169" spans="1:16" s="127" customFormat="1">
      <c r="A169" s="164" t="s">
        <v>179</v>
      </c>
      <c r="B169" s="173" t="s">
        <v>199</v>
      </c>
      <c r="C169" s="196">
        <f>'2023'!D169</f>
        <v>3345.2</v>
      </c>
      <c r="D169" s="191">
        <f>F169+'1 кв'!D169</f>
        <v>3070.7</v>
      </c>
      <c r="E169" s="189">
        <f>план!H169</f>
        <v>2160</v>
      </c>
      <c r="F169" s="191">
        <v>1528.8</v>
      </c>
      <c r="G169" s="195">
        <f t="shared" si="9"/>
        <v>-631.20000000000005</v>
      </c>
      <c r="H169" s="283">
        <f t="shared" si="10"/>
        <v>70.777777777777771</v>
      </c>
      <c r="I169" s="128">
        <f>C169-'2023'!D169</f>
        <v>0</v>
      </c>
      <c r="J169" s="128">
        <f>D169-'1 кв'!F169-'2 кв'!F169</f>
        <v>0</v>
      </c>
      <c r="K169" s="128"/>
      <c r="L169" s="128"/>
      <c r="M169" s="128"/>
      <c r="N169" s="128"/>
      <c r="O169" s="128"/>
      <c r="P169" s="128"/>
    </row>
    <row r="170" spans="1:16" s="127" customFormat="1">
      <c r="A170" s="164" t="s">
        <v>181</v>
      </c>
      <c r="B170" s="173" t="s">
        <v>200</v>
      </c>
      <c r="C170" s="196">
        <f>'2023'!D170</f>
        <v>2200.4</v>
      </c>
      <c r="D170" s="191">
        <f>F170+'1 кв'!D170</f>
        <v>2067.6</v>
      </c>
      <c r="E170" s="189">
        <f>план!H170</f>
        <v>1417.5</v>
      </c>
      <c r="F170" s="191">
        <v>1000.3</v>
      </c>
      <c r="G170" s="195">
        <f t="shared" si="9"/>
        <v>-417.20000000000005</v>
      </c>
      <c r="H170" s="283">
        <f t="shared" si="10"/>
        <v>70.567901234567898</v>
      </c>
      <c r="I170" s="128">
        <f>C170-'2023'!D170</f>
        <v>0</v>
      </c>
      <c r="J170" s="128">
        <f>D170-'1 кв'!F170-'2 кв'!F170</f>
        <v>0</v>
      </c>
      <c r="K170" s="128"/>
      <c r="L170" s="128"/>
      <c r="M170" s="128"/>
      <c r="N170" s="128"/>
      <c r="O170" s="128"/>
      <c r="P170" s="128"/>
    </row>
    <row r="171" spans="1:16" s="127" customFormat="1">
      <c r="A171" s="164" t="s">
        <v>183</v>
      </c>
      <c r="B171" s="173" t="s">
        <v>201</v>
      </c>
      <c r="C171" s="196">
        <f>'2023'!D171</f>
        <v>598.70000000000005</v>
      </c>
      <c r="D171" s="191">
        <f>F171+'1 кв'!D171</f>
        <v>728.3</v>
      </c>
      <c r="E171" s="189">
        <f>план!H171</f>
        <v>530.64</v>
      </c>
      <c r="F171" s="191">
        <v>386.8</v>
      </c>
      <c r="G171" s="195">
        <f t="shared" si="9"/>
        <v>-143.83999999999997</v>
      </c>
      <c r="H171" s="283">
        <f t="shared" si="10"/>
        <v>72.893110206543042</v>
      </c>
      <c r="I171" s="128">
        <f>C171-'2023'!D171</f>
        <v>0</v>
      </c>
      <c r="J171" s="128">
        <f>D171-'1 кв'!F171-'2 кв'!F171</f>
        <v>0</v>
      </c>
      <c r="K171" s="128"/>
      <c r="L171" s="128"/>
      <c r="M171" s="128"/>
      <c r="N171" s="128"/>
      <c r="O171" s="128"/>
      <c r="P171" s="128"/>
    </row>
    <row r="172" spans="1:16" s="127" customFormat="1">
      <c r="A172" s="164" t="s">
        <v>185</v>
      </c>
      <c r="B172" s="173" t="s">
        <v>202</v>
      </c>
      <c r="C172" s="196">
        <f>'2023'!D172</f>
        <v>967.09999999999991</v>
      </c>
      <c r="D172" s="191">
        <f>F172+'1 кв'!D172</f>
        <v>877.09999999999991</v>
      </c>
      <c r="E172" s="189">
        <f>план!H172</f>
        <v>590.94000000000005</v>
      </c>
      <c r="F172" s="191">
        <v>427.7</v>
      </c>
      <c r="G172" s="195">
        <f t="shared" si="9"/>
        <v>-163.24000000000007</v>
      </c>
      <c r="H172" s="283">
        <f t="shared" si="10"/>
        <v>72.376214167258937</v>
      </c>
      <c r="I172" s="128">
        <f>C172-'2023'!D172</f>
        <v>0</v>
      </c>
      <c r="J172" s="128">
        <f>D172-'1 кв'!F172-'2 кв'!F172</f>
        <v>0</v>
      </c>
      <c r="K172" s="128"/>
      <c r="L172" s="128"/>
      <c r="M172" s="128"/>
      <c r="N172" s="128"/>
      <c r="O172" s="128"/>
      <c r="P172" s="128"/>
    </row>
    <row r="173" spans="1:16" s="127" customFormat="1" ht="31.5">
      <c r="A173" s="167" t="s">
        <v>203</v>
      </c>
      <c r="B173" s="173" t="s">
        <v>204</v>
      </c>
      <c r="C173" s="190">
        <f>C166/C152/6*1000</f>
        <v>12357.220921155345</v>
      </c>
      <c r="D173" s="195">
        <f>D166/D152/6*1000</f>
        <v>11702.764976958524</v>
      </c>
      <c r="E173" s="195">
        <f>E166/E152/3*1000</f>
        <v>14218.791666666666</v>
      </c>
      <c r="F173" s="195">
        <f>F166/F152/3*1000</f>
        <v>11725</v>
      </c>
      <c r="G173" s="195">
        <f t="shared" si="9"/>
        <v>-2493.7916666666661</v>
      </c>
      <c r="H173" s="185">
        <f t="shared" si="10"/>
        <v>82.461296816712633</v>
      </c>
      <c r="I173" s="128">
        <f>C173-'2023'!D173</f>
        <v>0</v>
      </c>
      <c r="J173" s="128">
        <f>D173-'1 кв'!F173-'2 кв'!F173</f>
        <v>-11702.968967995603</v>
      </c>
      <c r="K173" s="128"/>
      <c r="L173" s="128"/>
      <c r="M173" s="128"/>
      <c r="N173" s="128"/>
      <c r="O173" s="128"/>
      <c r="P173" s="128"/>
    </row>
    <row r="174" spans="1:16" s="127" customFormat="1">
      <c r="A174" s="164" t="s">
        <v>175</v>
      </c>
      <c r="B174" s="173" t="s">
        <v>205</v>
      </c>
      <c r="C174" s="196">
        <f>'2023'!D174</f>
        <v>51033.333333333328</v>
      </c>
      <c r="D174" s="191">
        <f t="shared" ref="D174:D179" si="11">D167/D153/6*1000</f>
        <v>50916.666666666664</v>
      </c>
      <c r="E174" s="189">
        <f>план!H174</f>
        <v>51045</v>
      </c>
      <c r="F174" s="191">
        <f t="shared" ref="F174:F179" si="12">F167/F153/3*1000</f>
        <v>50800.000000000007</v>
      </c>
      <c r="G174" s="191">
        <f t="shared" si="9"/>
        <v>-244.99999999999272</v>
      </c>
      <c r="H174" s="283">
        <f t="shared" si="10"/>
        <v>99.520031344891777</v>
      </c>
      <c r="I174" s="128">
        <f>C174-'2023'!D174</f>
        <v>0</v>
      </c>
      <c r="J174" s="128">
        <f>D174-'1 кв'!F174-'2 кв'!F174</f>
        <v>-50916.666666666672</v>
      </c>
      <c r="K174" s="128"/>
      <c r="L174" s="128"/>
      <c r="M174" s="128"/>
      <c r="N174" s="128"/>
      <c r="O174" s="128"/>
      <c r="P174" s="128"/>
    </row>
    <row r="175" spans="1:16" s="127" customFormat="1">
      <c r="A175" s="164" t="s">
        <v>177</v>
      </c>
      <c r="B175" s="173" t="s">
        <v>206</v>
      </c>
      <c r="C175" s="196">
        <f>'2023'!D175</f>
        <v>17445.614035087721</v>
      </c>
      <c r="D175" s="191">
        <f>D168/D154/6*1000</f>
        <v>18976.666666666664</v>
      </c>
      <c r="E175" s="189">
        <f>план!H175</f>
        <v>17770</v>
      </c>
      <c r="F175" s="191">
        <f t="shared" si="12"/>
        <v>20193.333333333332</v>
      </c>
      <c r="G175" s="191">
        <f t="shared" si="9"/>
        <v>2423.3333333333321</v>
      </c>
      <c r="H175" s="283">
        <f t="shared" si="10"/>
        <v>113.63721628212342</v>
      </c>
      <c r="I175" s="128">
        <f>C175-'2023'!D175</f>
        <v>0</v>
      </c>
      <c r="J175" s="128">
        <f>D175-'1 кв'!F175-'2 кв'!F175</f>
        <v>-18976.666666666664</v>
      </c>
      <c r="K175" s="128"/>
      <c r="L175" s="128"/>
      <c r="M175" s="128"/>
      <c r="N175" s="128"/>
      <c r="O175" s="128"/>
      <c r="P175" s="128"/>
    </row>
    <row r="176" spans="1:16" s="127" customFormat="1">
      <c r="A176" s="164" t="s">
        <v>179</v>
      </c>
      <c r="B176" s="173" t="s">
        <v>207</v>
      </c>
      <c r="C176" s="196">
        <f>'2023'!D176</f>
        <v>17422.916666666664</v>
      </c>
      <c r="D176" s="191">
        <f t="shared" si="11"/>
        <v>14216.203703703703</v>
      </c>
      <c r="E176" s="189">
        <f>план!H176</f>
        <v>20000</v>
      </c>
      <c r="F176" s="191">
        <f t="shared" si="12"/>
        <v>14155.555555555557</v>
      </c>
      <c r="G176" s="191">
        <f t="shared" si="9"/>
        <v>-5844.4444444444434</v>
      </c>
      <c r="H176" s="283">
        <f t="shared" si="10"/>
        <v>70.777777777777786</v>
      </c>
      <c r="I176" s="128">
        <f>C176-'2023'!D176</f>
        <v>0</v>
      </c>
      <c r="J176" s="128">
        <f>D176-'1 кв'!F176-'2 кв'!F176</f>
        <v>-14216.203703703706</v>
      </c>
      <c r="K176" s="128"/>
      <c r="L176" s="128"/>
      <c r="M176" s="128"/>
      <c r="N176" s="128"/>
      <c r="O176" s="128"/>
      <c r="P176" s="128"/>
    </row>
    <row r="177" spans="1:16" s="127" customFormat="1">
      <c r="A177" s="164" t="s">
        <v>181</v>
      </c>
      <c r="B177" s="173" t="s">
        <v>208</v>
      </c>
      <c r="C177" s="196">
        <f>'2023'!D177</f>
        <v>11460.416666666668</v>
      </c>
      <c r="D177" s="191">
        <f t="shared" si="11"/>
        <v>10603.076923076924</v>
      </c>
      <c r="E177" s="189">
        <f>план!H177</f>
        <v>13500</v>
      </c>
      <c r="F177" s="191">
        <f t="shared" si="12"/>
        <v>10419.791666666666</v>
      </c>
      <c r="G177" s="191">
        <f t="shared" si="9"/>
        <v>-3080.2083333333339</v>
      </c>
      <c r="H177" s="283">
        <f t="shared" si="10"/>
        <v>77.183641975308632</v>
      </c>
      <c r="I177" s="128">
        <f>C177-'2023'!D177</f>
        <v>0</v>
      </c>
      <c r="J177" s="128">
        <f>D177-'1 кв'!F177-'2 кв'!F177</f>
        <v>-10597.522824397824</v>
      </c>
      <c r="K177" s="128"/>
      <c r="L177" s="128"/>
      <c r="M177" s="128"/>
      <c r="N177" s="128"/>
      <c r="O177" s="128"/>
      <c r="P177" s="128"/>
    </row>
    <row r="178" spans="1:16" s="127" customFormat="1">
      <c r="A178" s="164" t="s">
        <v>183</v>
      </c>
      <c r="B178" s="173" t="s">
        <v>209</v>
      </c>
      <c r="C178" s="196">
        <f>'2023'!D178</f>
        <v>5869.6078431372553</v>
      </c>
      <c r="D178" s="191">
        <f t="shared" si="11"/>
        <v>7586.458333333333</v>
      </c>
      <c r="E178" s="189">
        <f>план!H178</f>
        <v>8040</v>
      </c>
      <c r="F178" s="191">
        <f t="shared" si="12"/>
        <v>8058.3333333333339</v>
      </c>
      <c r="G178" s="191">
        <f t="shared" si="9"/>
        <v>18.33333333333394</v>
      </c>
      <c r="H178" s="283">
        <f t="shared" si="10"/>
        <v>100.2280265339967</v>
      </c>
      <c r="I178" s="128">
        <f>C178-'2023'!D178</f>
        <v>0</v>
      </c>
      <c r="J178" s="128">
        <f>D178-'1 кв'!F178-'2 кв'!F178</f>
        <v>-7586.4583333333339</v>
      </c>
      <c r="K178" s="128"/>
      <c r="L178" s="128"/>
      <c r="M178" s="128"/>
      <c r="N178" s="128"/>
      <c r="O178" s="128"/>
      <c r="P178" s="128"/>
    </row>
    <row r="179" spans="1:16" s="127" customFormat="1">
      <c r="A179" s="164" t="s">
        <v>185</v>
      </c>
      <c r="B179" s="173" t="s">
        <v>210</v>
      </c>
      <c r="C179" s="196">
        <f>'2023'!D179</f>
        <v>8059.1666666666661</v>
      </c>
      <c r="D179" s="191">
        <f t="shared" si="11"/>
        <v>8121.2962962962947</v>
      </c>
      <c r="E179" s="189">
        <f>план!H179</f>
        <v>9380</v>
      </c>
      <c r="F179" s="191">
        <f t="shared" si="12"/>
        <v>7920.3703703703704</v>
      </c>
      <c r="G179" s="191">
        <f t="shared" si="9"/>
        <v>-1459.6296296296296</v>
      </c>
      <c r="H179" s="283">
        <f t="shared" si="10"/>
        <v>84.438916528468766</v>
      </c>
      <c r="I179" s="128">
        <f>C179-'2023'!D179</f>
        <v>0</v>
      </c>
      <c r="J179" s="128">
        <f>D179-'1 кв'!F179-'2 кв'!F179</f>
        <v>-8121.2962962962965</v>
      </c>
      <c r="K179" s="128"/>
      <c r="L179" s="128"/>
      <c r="M179" s="128"/>
      <c r="N179" s="128"/>
      <c r="O179" s="128"/>
      <c r="P179" s="128"/>
    </row>
    <row r="180" spans="1:16" s="127" customFormat="1" ht="31.5">
      <c r="A180" s="164" t="s">
        <v>211</v>
      </c>
      <c r="B180" s="173" t="s">
        <v>212</v>
      </c>
      <c r="C180" s="196">
        <f>'2023'!D180</f>
        <v>2507.3000000000002</v>
      </c>
      <c r="D180" s="196"/>
      <c r="E180" s="189"/>
      <c r="F180" s="188"/>
      <c r="G180" s="195">
        <f t="shared" si="9"/>
        <v>0</v>
      </c>
      <c r="H180" s="182"/>
      <c r="I180" s="128">
        <f>C180-'2023'!D180</f>
        <v>0</v>
      </c>
      <c r="J180" s="128">
        <f>D180-'1 кв'!F180-'2 кв'!F180</f>
        <v>0</v>
      </c>
      <c r="K180" s="128"/>
      <c r="L180" s="128"/>
      <c r="M180" s="128"/>
      <c r="N180" s="128"/>
      <c r="O180" s="128"/>
      <c r="P180" s="128"/>
    </row>
    <row r="181" spans="1:16" s="127" customFormat="1" ht="20.100000000000001" customHeight="1">
      <c r="A181" s="133"/>
      <c r="B181" s="134"/>
      <c r="C181" s="135"/>
      <c r="D181" s="135"/>
      <c r="E181" s="136"/>
      <c r="F181" s="136"/>
      <c r="G181" s="136"/>
      <c r="H181" s="137"/>
    </row>
    <row r="182" spans="1:16" s="127" customFormat="1" ht="42.6" customHeight="1">
      <c r="A182" s="138" t="s">
        <v>252</v>
      </c>
      <c r="B182" s="407" t="s">
        <v>249</v>
      </c>
      <c r="C182" s="407"/>
      <c r="D182" s="407"/>
      <c r="E182" s="407"/>
      <c r="F182" s="407"/>
      <c r="G182" s="407"/>
      <c r="H182" s="407"/>
    </row>
    <row r="183" spans="1:16" ht="18.75" customHeight="1">
      <c r="A183" s="138"/>
      <c r="C183" s="427"/>
      <c r="D183" s="427"/>
      <c r="E183" s="427"/>
      <c r="F183" s="427"/>
      <c r="G183" s="408"/>
      <c r="H183" s="408"/>
    </row>
    <row r="184" spans="1:16" s="139" customFormat="1" ht="20.100000000000001" customHeight="1">
      <c r="A184" s="110"/>
      <c r="B184" s="104"/>
      <c r="C184" s="408"/>
      <c r="D184" s="408"/>
      <c r="E184" s="408"/>
      <c r="F184" s="408"/>
      <c r="G184" s="408"/>
      <c r="H184" s="408"/>
      <c r="I184" s="111"/>
    </row>
    <row r="185" spans="1:16">
      <c r="A185" s="140"/>
    </row>
    <row r="186" spans="1:16">
      <c r="A186" s="140"/>
    </row>
    <row r="187" spans="1:16">
      <c r="A187" s="140"/>
    </row>
    <row r="188" spans="1:16">
      <c r="A188" s="140"/>
    </row>
    <row r="189" spans="1:16">
      <c r="A189" s="140"/>
    </row>
    <row r="190" spans="1:16">
      <c r="A190" s="140"/>
    </row>
    <row r="191" spans="1:16">
      <c r="A191" s="140"/>
    </row>
    <row r="192" spans="1:16">
      <c r="A192" s="140"/>
    </row>
    <row r="193" spans="1:1">
      <c r="A193" s="140"/>
    </row>
    <row r="194" spans="1:1">
      <c r="A194" s="140"/>
    </row>
    <row r="195" spans="1:1">
      <c r="A195" s="140"/>
    </row>
    <row r="196" spans="1:1">
      <c r="A196" s="140"/>
    </row>
    <row r="197" spans="1:1">
      <c r="A197" s="140"/>
    </row>
    <row r="198" spans="1:1">
      <c r="A198" s="140"/>
    </row>
    <row r="199" spans="1:1">
      <c r="A199" s="140"/>
    </row>
    <row r="200" spans="1:1">
      <c r="A200" s="140"/>
    </row>
    <row r="201" spans="1:1">
      <c r="A201" s="140"/>
    </row>
    <row r="202" spans="1:1">
      <c r="A202" s="140"/>
    </row>
    <row r="203" spans="1:1">
      <c r="A203" s="140"/>
    </row>
    <row r="204" spans="1:1">
      <c r="A204" s="140"/>
    </row>
    <row r="205" spans="1:1">
      <c r="A205" s="140"/>
    </row>
    <row r="206" spans="1:1">
      <c r="A206" s="140"/>
    </row>
    <row r="207" spans="1:1">
      <c r="A207" s="140"/>
    </row>
    <row r="208" spans="1:1">
      <c r="A208" s="140"/>
    </row>
    <row r="209" spans="1:1">
      <c r="A209" s="140"/>
    </row>
    <row r="210" spans="1:1">
      <c r="A210" s="140"/>
    </row>
    <row r="211" spans="1:1">
      <c r="A211" s="140"/>
    </row>
    <row r="212" spans="1:1">
      <c r="A212" s="140"/>
    </row>
    <row r="213" spans="1:1">
      <c r="A213" s="140"/>
    </row>
    <row r="214" spans="1:1">
      <c r="A214" s="140"/>
    </row>
    <row r="215" spans="1:1">
      <c r="A215" s="140"/>
    </row>
    <row r="216" spans="1:1">
      <c r="A216" s="140"/>
    </row>
    <row r="217" spans="1:1">
      <c r="A217" s="140"/>
    </row>
    <row r="218" spans="1:1">
      <c r="A218" s="140"/>
    </row>
    <row r="219" spans="1:1">
      <c r="A219" s="140"/>
    </row>
    <row r="220" spans="1:1">
      <c r="A220" s="140"/>
    </row>
    <row r="221" spans="1:1">
      <c r="A221" s="140"/>
    </row>
    <row r="222" spans="1:1">
      <c r="A222" s="140"/>
    </row>
    <row r="223" spans="1:1">
      <c r="A223" s="140"/>
    </row>
    <row r="224" spans="1:1">
      <c r="A224" s="140"/>
    </row>
    <row r="225" spans="1:1">
      <c r="A225" s="140"/>
    </row>
    <row r="226" spans="1:1">
      <c r="A226" s="140"/>
    </row>
    <row r="227" spans="1:1">
      <c r="A227" s="140"/>
    </row>
    <row r="228" spans="1:1">
      <c r="A228" s="140"/>
    </row>
    <row r="229" spans="1:1">
      <c r="A229" s="140"/>
    </row>
    <row r="230" spans="1:1">
      <c r="A230" s="140"/>
    </row>
    <row r="231" spans="1:1">
      <c r="A231" s="140"/>
    </row>
    <row r="232" spans="1:1">
      <c r="A232" s="140"/>
    </row>
    <row r="233" spans="1:1">
      <c r="A233" s="140"/>
    </row>
    <row r="234" spans="1:1">
      <c r="A234" s="140"/>
    </row>
    <row r="235" spans="1:1">
      <c r="A235" s="140"/>
    </row>
    <row r="236" spans="1:1">
      <c r="A236" s="140"/>
    </row>
    <row r="237" spans="1:1">
      <c r="A237" s="140"/>
    </row>
    <row r="238" spans="1:1">
      <c r="A238" s="140"/>
    </row>
    <row r="239" spans="1:1">
      <c r="A239" s="140"/>
    </row>
    <row r="240" spans="1:1">
      <c r="A240" s="140"/>
    </row>
    <row r="241" spans="1:1">
      <c r="A241" s="140"/>
    </row>
    <row r="242" spans="1:1">
      <c r="A242" s="140"/>
    </row>
    <row r="243" spans="1:1">
      <c r="A243" s="140"/>
    </row>
    <row r="244" spans="1:1">
      <c r="A244" s="140"/>
    </row>
    <row r="245" spans="1:1">
      <c r="A245" s="140"/>
    </row>
    <row r="246" spans="1:1">
      <c r="A246" s="140"/>
    </row>
    <row r="247" spans="1:1">
      <c r="A247" s="140"/>
    </row>
    <row r="248" spans="1:1">
      <c r="A248" s="140"/>
    </row>
    <row r="249" spans="1:1">
      <c r="A249" s="140"/>
    </row>
    <row r="250" spans="1:1">
      <c r="A250" s="140"/>
    </row>
    <row r="251" spans="1:1">
      <c r="A251" s="140"/>
    </row>
    <row r="252" spans="1:1">
      <c r="A252" s="140"/>
    </row>
    <row r="253" spans="1:1">
      <c r="A253" s="140"/>
    </row>
    <row r="254" spans="1:1">
      <c r="A254" s="140"/>
    </row>
    <row r="255" spans="1:1">
      <c r="A255" s="140"/>
    </row>
    <row r="256" spans="1:1">
      <c r="A256" s="140"/>
    </row>
    <row r="257" spans="1:1">
      <c r="A257" s="140"/>
    </row>
    <row r="258" spans="1:1">
      <c r="A258" s="140"/>
    </row>
    <row r="259" spans="1:1">
      <c r="A259" s="140"/>
    </row>
    <row r="260" spans="1:1">
      <c r="A260" s="140"/>
    </row>
    <row r="261" spans="1:1">
      <c r="A261" s="140"/>
    </row>
    <row r="262" spans="1:1">
      <c r="A262" s="140"/>
    </row>
    <row r="263" spans="1:1">
      <c r="A263" s="140"/>
    </row>
    <row r="264" spans="1:1">
      <c r="A264" s="140"/>
    </row>
    <row r="265" spans="1:1">
      <c r="A265" s="140"/>
    </row>
    <row r="266" spans="1:1">
      <c r="A266" s="140"/>
    </row>
    <row r="267" spans="1:1">
      <c r="A267" s="140"/>
    </row>
    <row r="268" spans="1:1">
      <c r="A268" s="140"/>
    </row>
    <row r="269" spans="1:1">
      <c r="A269" s="140"/>
    </row>
    <row r="270" spans="1:1">
      <c r="A270" s="140"/>
    </row>
    <row r="271" spans="1:1">
      <c r="A271" s="140"/>
    </row>
    <row r="272" spans="1:1">
      <c r="A272" s="140"/>
    </row>
    <row r="273" spans="1:1">
      <c r="A273" s="140"/>
    </row>
    <row r="274" spans="1:1">
      <c r="A274" s="140"/>
    </row>
    <row r="275" spans="1:1">
      <c r="A275" s="140"/>
    </row>
    <row r="276" spans="1:1">
      <c r="A276" s="140"/>
    </row>
    <row r="277" spans="1:1">
      <c r="A277" s="140"/>
    </row>
    <row r="278" spans="1:1">
      <c r="A278" s="140"/>
    </row>
    <row r="279" spans="1:1">
      <c r="A279" s="140"/>
    </row>
    <row r="280" spans="1:1">
      <c r="A280" s="140"/>
    </row>
    <row r="281" spans="1:1">
      <c r="A281" s="140"/>
    </row>
    <row r="282" spans="1:1">
      <c r="A282" s="140"/>
    </row>
    <row r="283" spans="1:1">
      <c r="A283" s="140"/>
    </row>
    <row r="284" spans="1:1">
      <c r="A284" s="140"/>
    </row>
    <row r="285" spans="1:1">
      <c r="A285" s="140"/>
    </row>
    <row r="286" spans="1:1">
      <c r="A286" s="140"/>
    </row>
    <row r="287" spans="1:1">
      <c r="A287" s="140"/>
    </row>
    <row r="288" spans="1:1">
      <c r="A288" s="140"/>
    </row>
    <row r="289" spans="1:1">
      <c r="A289" s="140"/>
    </row>
    <row r="290" spans="1:1">
      <c r="A290" s="140"/>
    </row>
    <row r="291" spans="1:1">
      <c r="A291" s="140"/>
    </row>
    <row r="292" spans="1:1">
      <c r="A292" s="140"/>
    </row>
    <row r="293" spans="1:1">
      <c r="A293" s="140"/>
    </row>
    <row r="294" spans="1:1">
      <c r="A294" s="140"/>
    </row>
    <row r="295" spans="1:1">
      <c r="A295" s="140"/>
    </row>
    <row r="296" spans="1:1">
      <c r="A296" s="140"/>
    </row>
    <row r="297" spans="1:1">
      <c r="A297" s="140"/>
    </row>
    <row r="298" spans="1:1">
      <c r="A298" s="140"/>
    </row>
    <row r="299" spans="1:1">
      <c r="A299" s="140"/>
    </row>
    <row r="300" spans="1:1">
      <c r="A300" s="140"/>
    </row>
    <row r="301" spans="1:1">
      <c r="A301" s="140"/>
    </row>
    <row r="302" spans="1:1">
      <c r="A302" s="140"/>
    </row>
    <row r="303" spans="1:1">
      <c r="A303" s="140"/>
    </row>
    <row r="304" spans="1:1">
      <c r="A304" s="140"/>
    </row>
    <row r="305" spans="1:1">
      <c r="A305" s="140"/>
    </row>
    <row r="306" spans="1:1">
      <c r="A306" s="140"/>
    </row>
    <row r="307" spans="1:1">
      <c r="A307" s="140"/>
    </row>
    <row r="308" spans="1:1">
      <c r="A308" s="140"/>
    </row>
    <row r="309" spans="1:1">
      <c r="A309" s="140"/>
    </row>
    <row r="310" spans="1:1">
      <c r="A310" s="140"/>
    </row>
    <row r="311" spans="1:1">
      <c r="A311" s="140"/>
    </row>
    <row r="312" spans="1:1">
      <c r="A312" s="140"/>
    </row>
    <row r="313" spans="1:1">
      <c r="A313" s="140"/>
    </row>
    <row r="314" spans="1:1">
      <c r="A314" s="140"/>
    </row>
    <row r="315" spans="1:1">
      <c r="A315" s="140"/>
    </row>
    <row r="316" spans="1:1">
      <c r="A316" s="140"/>
    </row>
    <row r="317" spans="1:1">
      <c r="A317" s="140"/>
    </row>
    <row r="318" spans="1:1">
      <c r="A318" s="140"/>
    </row>
    <row r="319" spans="1:1">
      <c r="A319" s="140"/>
    </row>
    <row r="320" spans="1:1">
      <c r="A320" s="140"/>
    </row>
    <row r="321" spans="1:1">
      <c r="A321" s="140"/>
    </row>
    <row r="322" spans="1:1">
      <c r="A322" s="140"/>
    </row>
    <row r="323" spans="1:1">
      <c r="A323" s="140"/>
    </row>
    <row r="324" spans="1:1">
      <c r="A324" s="140"/>
    </row>
    <row r="325" spans="1:1">
      <c r="A325" s="140"/>
    </row>
    <row r="326" spans="1:1">
      <c r="A326" s="140"/>
    </row>
    <row r="327" spans="1:1">
      <c r="A327" s="140"/>
    </row>
    <row r="328" spans="1:1">
      <c r="A328" s="140"/>
    </row>
    <row r="329" spans="1:1">
      <c r="A329" s="140"/>
    </row>
    <row r="330" spans="1:1">
      <c r="A330" s="140"/>
    </row>
    <row r="331" spans="1:1">
      <c r="A331" s="140"/>
    </row>
    <row r="332" spans="1:1">
      <c r="A332" s="140"/>
    </row>
    <row r="333" spans="1:1">
      <c r="A333" s="140"/>
    </row>
    <row r="334" spans="1:1">
      <c r="A334" s="140"/>
    </row>
    <row r="335" spans="1:1">
      <c r="A335" s="140"/>
    </row>
    <row r="336" spans="1:1">
      <c r="A336" s="140"/>
    </row>
    <row r="337" spans="1:1">
      <c r="A337" s="140"/>
    </row>
    <row r="338" spans="1:1">
      <c r="A338" s="140"/>
    </row>
    <row r="339" spans="1:1">
      <c r="A339" s="140"/>
    </row>
    <row r="340" spans="1:1">
      <c r="A340" s="140"/>
    </row>
    <row r="341" spans="1:1">
      <c r="A341" s="140"/>
    </row>
    <row r="342" spans="1:1">
      <c r="A342" s="140"/>
    </row>
    <row r="343" spans="1:1">
      <c r="A343" s="141"/>
    </row>
    <row r="344" spans="1:1">
      <c r="A344" s="141"/>
    </row>
    <row r="345" spans="1:1">
      <c r="A345" s="141"/>
    </row>
    <row r="346" spans="1:1">
      <c r="A346" s="141"/>
    </row>
    <row r="347" spans="1:1">
      <c r="A347" s="141"/>
    </row>
    <row r="348" spans="1:1">
      <c r="A348" s="141"/>
    </row>
    <row r="349" spans="1:1">
      <c r="A349" s="141"/>
    </row>
    <row r="350" spans="1:1">
      <c r="A350" s="141"/>
    </row>
    <row r="351" spans="1:1">
      <c r="A351" s="141"/>
    </row>
    <row r="352" spans="1:1">
      <c r="A352" s="141"/>
    </row>
    <row r="353" spans="1:1">
      <c r="A353" s="141"/>
    </row>
    <row r="354" spans="1:1">
      <c r="A354" s="141"/>
    </row>
    <row r="355" spans="1:1">
      <c r="A355" s="141"/>
    </row>
    <row r="356" spans="1:1">
      <c r="A356" s="141"/>
    </row>
    <row r="357" spans="1:1">
      <c r="A357" s="141"/>
    </row>
    <row r="358" spans="1:1">
      <c r="A358" s="141"/>
    </row>
    <row r="359" spans="1:1">
      <c r="A359" s="141"/>
    </row>
    <row r="360" spans="1:1">
      <c r="A360" s="141"/>
    </row>
    <row r="361" spans="1:1">
      <c r="A361" s="141"/>
    </row>
    <row r="362" spans="1:1">
      <c r="A362" s="141"/>
    </row>
    <row r="363" spans="1:1">
      <c r="A363" s="141"/>
    </row>
    <row r="364" spans="1:1">
      <c r="A364" s="141"/>
    </row>
    <row r="365" spans="1:1">
      <c r="A365" s="141"/>
    </row>
    <row r="366" spans="1:1">
      <c r="A366" s="141"/>
    </row>
    <row r="367" spans="1:1">
      <c r="A367" s="141"/>
    </row>
    <row r="368" spans="1:1">
      <c r="A368" s="141"/>
    </row>
    <row r="369" spans="1:1">
      <c r="A369" s="141"/>
    </row>
    <row r="370" spans="1:1">
      <c r="A370" s="141"/>
    </row>
    <row r="371" spans="1:1">
      <c r="A371" s="141"/>
    </row>
    <row r="372" spans="1:1">
      <c r="A372" s="141"/>
    </row>
    <row r="373" spans="1:1">
      <c r="A373" s="141"/>
    </row>
    <row r="374" spans="1:1">
      <c r="A374" s="141"/>
    </row>
    <row r="375" spans="1:1">
      <c r="A375" s="141"/>
    </row>
    <row r="376" spans="1:1">
      <c r="A376" s="141"/>
    </row>
    <row r="377" spans="1:1">
      <c r="A377" s="141"/>
    </row>
    <row r="378" spans="1:1">
      <c r="A378" s="141"/>
    </row>
    <row r="379" spans="1:1">
      <c r="A379" s="141"/>
    </row>
    <row r="380" spans="1:1">
      <c r="A380" s="141"/>
    </row>
    <row r="381" spans="1:1">
      <c r="A381" s="141"/>
    </row>
    <row r="382" spans="1:1">
      <c r="A382" s="141"/>
    </row>
    <row r="383" spans="1:1">
      <c r="A383" s="141"/>
    </row>
    <row r="384" spans="1:1">
      <c r="A384" s="141"/>
    </row>
    <row r="385" spans="1:1">
      <c r="A385" s="141"/>
    </row>
    <row r="386" spans="1:1">
      <c r="A386" s="141"/>
    </row>
    <row r="387" spans="1:1">
      <c r="A387" s="141"/>
    </row>
    <row r="388" spans="1:1">
      <c r="A388" s="141"/>
    </row>
    <row r="389" spans="1:1">
      <c r="A389" s="141"/>
    </row>
    <row r="390" spans="1:1">
      <c r="A390" s="141"/>
    </row>
    <row r="391" spans="1:1">
      <c r="A391" s="141"/>
    </row>
    <row r="392" spans="1:1">
      <c r="A392" s="141"/>
    </row>
    <row r="393" spans="1:1">
      <c r="A393" s="141"/>
    </row>
    <row r="394" spans="1:1">
      <c r="A394" s="141"/>
    </row>
    <row r="395" spans="1:1">
      <c r="A395" s="141"/>
    </row>
    <row r="396" spans="1:1">
      <c r="A396" s="141"/>
    </row>
    <row r="397" spans="1:1">
      <c r="A397" s="141"/>
    </row>
    <row r="398" spans="1:1">
      <c r="A398" s="141"/>
    </row>
    <row r="399" spans="1:1">
      <c r="A399" s="141"/>
    </row>
    <row r="400" spans="1:1">
      <c r="A400" s="141"/>
    </row>
    <row r="401" spans="1:1">
      <c r="A401" s="141"/>
    </row>
    <row r="402" spans="1:1">
      <c r="A402" s="141"/>
    </row>
    <row r="403" spans="1:1">
      <c r="A403" s="141"/>
    </row>
    <row r="404" spans="1:1">
      <c r="A404" s="141"/>
    </row>
    <row r="405" spans="1:1">
      <c r="A405" s="141"/>
    </row>
    <row r="406" spans="1:1">
      <c r="A406" s="141"/>
    </row>
    <row r="407" spans="1:1">
      <c r="A407" s="141"/>
    </row>
    <row r="408" spans="1:1">
      <c r="A408" s="141"/>
    </row>
    <row r="409" spans="1:1">
      <c r="A409" s="141"/>
    </row>
    <row r="410" spans="1:1">
      <c r="A410" s="141"/>
    </row>
    <row r="411" spans="1:1">
      <c r="A411" s="141"/>
    </row>
    <row r="412" spans="1:1">
      <c r="A412" s="141"/>
    </row>
    <row r="413" spans="1:1">
      <c r="A413" s="141"/>
    </row>
    <row r="414" spans="1:1">
      <c r="A414" s="141"/>
    </row>
    <row r="415" spans="1:1">
      <c r="A415" s="141"/>
    </row>
    <row r="416" spans="1:1">
      <c r="A416" s="141"/>
    </row>
    <row r="417" spans="1:1">
      <c r="A417" s="141"/>
    </row>
    <row r="418" spans="1:1">
      <c r="A418" s="141"/>
    </row>
    <row r="419" spans="1:1">
      <c r="A419" s="141"/>
    </row>
    <row r="420" spans="1:1">
      <c r="A420" s="141"/>
    </row>
    <row r="421" spans="1:1">
      <c r="A421" s="141"/>
    </row>
    <row r="422" spans="1:1">
      <c r="A422" s="141"/>
    </row>
    <row r="423" spans="1:1">
      <c r="A423" s="141"/>
    </row>
    <row r="424" spans="1:1">
      <c r="A424" s="141"/>
    </row>
    <row r="425" spans="1:1">
      <c r="A425" s="141"/>
    </row>
    <row r="426" spans="1:1">
      <c r="A426" s="141"/>
    </row>
    <row r="427" spans="1:1">
      <c r="A427" s="141"/>
    </row>
    <row r="428" spans="1:1">
      <c r="A428" s="141"/>
    </row>
    <row r="429" spans="1:1">
      <c r="A429" s="141"/>
    </row>
    <row r="430" spans="1:1">
      <c r="A430" s="141"/>
    </row>
    <row r="431" spans="1:1">
      <c r="A431" s="141"/>
    </row>
    <row r="432" spans="1:1">
      <c r="A432" s="141"/>
    </row>
    <row r="433" spans="1:1">
      <c r="A433" s="141"/>
    </row>
    <row r="434" spans="1:1">
      <c r="A434" s="141"/>
    </row>
    <row r="435" spans="1:1">
      <c r="A435" s="141"/>
    </row>
    <row r="436" spans="1:1">
      <c r="A436" s="141"/>
    </row>
    <row r="437" spans="1:1">
      <c r="A437" s="141"/>
    </row>
    <row r="438" spans="1:1">
      <c r="A438" s="141"/>
    </row>
    <row r="439" spans="1:1">
      <c r="A439" s="141"/>
    </row>
    <row r="440" spans="1:1">
      <c r="A440" s="141"/>
    </row>
    <row r="441" spans="1:1">
      <c r="A441" s="141"/>
    </row>
    <row r="442" spans="1:1">
      <c r="A442" s="141"/>
    </row>
    <row r="443" spans="1:1">
      <c r="A443" s="141"/>
    </row>
    <row r="444" spans="1:1">
      <c r="A444" s="141"/>
    </row>
    <row r="445" spans="1:1">
      <c r="A445" s="141"/>
    </row>
    <row r="446" spans="1:1">
      <c r="A446" s="141"/>
    </row>
    <row r="447" spans="1:1">
      <c r="A447" s="141"/>
    </row>
    <row r="448" spans="1:1">
      <c r="A448" s="141"/>
    </row>
    <row r="449" spans="1:1">
      <c r="A449" s="141"/>
    </row>
    <row r="450" spans="1:1">
      <c r="A450" s="141"/>
    </row>
    <row r="451" spans="1:1">
      <c r="A451" s="141"/>
    </row>
    <row r="452" spans="1:1">
      <c r="A452" s="141"/>
    </row>
    <row r="453" spans="1:1">
      <c r="A453" s="141"/>
    </row>
    <row r="454" spans="1:1">
      <c r="A454" s="141"/>
    </row>
    <row r="455" spans="1:1">
      <c r="A455" s="141"/>
    </row>
    <row r="456" spans="1:1">
      <c r="A456" s="141"/>
    </row>
    <row r="457" spans="1:1">
      <c r="A457" s="141"/>
    </row>
    <row r="458" spans="1:1">
      <c r="A458" s="141"/>
    </row>
    <row r="459" spans="1:1">
      <c r="A459" s="141"/>
    </row>
    <row r="460" spans="1:1">
      <c r="A460" s="141"/>
    </row>
    <row r="461" spans="1:1">
      <c r="A461" s="141"/>
    </row>
    <row r="462" spans="1:1">
      <c r="A462" s="141"/>
    </row>
    <row r="463" spans="1:1">
      <c r="A463" s="141"/>
    </row>
    <row r="464" spans="1:1">
      <c r="A464" s="141"/>
    </row>
    <row r="465" spans="1:1">
      <c r="A465" s="141"/>
    </row>
    <row r="466" spans="1:1">
      <c r="A466" s="141"/>
    </row>
    <row r="467" spans="1:1">
      <c r="A467" s="141"/>
    </row>
    <row r="468" spans="1:1">
      <c r="A468" s="141"/>
    </row>
    <row r="469" spans="1:1">
      <c r="A469" s="141"/>
    </row>
    <row r="470" spans="1:1">
      <c r="A470" s="141"/>
    </row>
    <row r="471" spans="1:1">
      <c r="A471" s="141"/>
    </row>
    <row r="472" spans="1:1">
      <c r="A472" s="141"/>
    </row>
    <row r="473" spans="1:1">
      <c r="A473" s="141"/>
    </row>
    <row r="474" spans="1:1">
      <c r="A474" s="141"/>
    </row>
    <row r="475" spans="1:1">
      <c r="A475" s="141"/>
    </row>
    <row r="476" spans="1:1">
      <c r="A476" s="141"/>
    </row>
    <row r="477" spans="1:1">
      <c r="A477" s="141"/>
    </row>
    <row r="478" spans="1:1">
      <c r="A478" s="141"/>
    </row>
    <row r="479" spans="1:1">
      <c r="A479" s="141"/>
    </row>
    <row r="480" spans="1:1">
      <c r="A480" s="141"/>
    </row>
    <row r="481" spans="1:1">
      <c r="A481" s="141"/>
    </row>
    <row r="482" spans="1:1">
      <c r="A482" s="141"/>
    </row>
    <row r="483" spans="1:1">
      <c r="A483" s="141"/>
    </row>
    <row r="484" spans="1:1">
      <c r="A484" s="141"/>
    </row>
    <row r="485" spans="1:1">
      <c r="A485" s="141"/>
    </row>
    <row r="486" spans="1:1">
      <c r="A486" s="141"/>
    </row>
    <row r="487" spans="1:1">
      <c r="A487" s="141"/>
    </row>
    <row r="488" spans="1:1">
      <c r="A488" s="141"/>
    </row>
    <row r="489" spans="1:1">
      <c r="A489" s="141"/>
    </row>
    <row r="490" spans="1:1">
      <c r="A490" s="141"/>
    </row>
    <row r="491" spans="1:1">
      <c r="A491" s="141"/>
    </row>
    <row r="492" spans="1:1">
      <c r="A492" s="141"/>
    </row>
    <row r="493" spans="1:1">
      <c r="A493" s="141"/>
    </row>
    <row r="494" spans="1:1">
      <c r="A494" s="141"/>
    </row>
    <row r="495" spans="1:1">
      <c r="A495" s="141"/>
    </row>
    <row r="496" spans="1:1">
      <c r="A496" s="141"/>
    </row>
    <row r="497" spans="1:1">
      <c r="A497" s="141"/>
    </row>
    <row r="498" spans="1:1">
      <c r="A498" s="141"/>
    </row>
    <row r="499" spans="1:1">
      <c r="A499" s="141"/>
    </row>
    <row r="500" spans="1:1">
      <c r="A500" s="141"/>
    </row>
    <row r="501" spans="1:1">
      <c r="A501" s="141"/>
    </row>
    <row r="502" spans="1:1">
      <c r="A502" s="141"/>
    </row>
    <row r="503" spans="1:1">
      <c r="A503" s="141"/>
    </row>
    <row r="504" spans="1:1">
      <c r="A504" s="141"/>
    </row>
    <row r="505" spans="1:1">
      <c r="A505" s="141"/>
    </row>
    <row r="506" spans="1:1">
      <c r="A506" s="141"/>
    </row>
    <row r="507" spans="1:1">
      <c r="A507" s="141"/>
    </row>
    <row r="508" spans="1:1">
      <c r="A508" s="141"/>
    </row>
  </sheetData>
  <mergeCells count="37">
    <mergeCell ref="F2:H6"/>
    <mergeCell ref="B7:E7"/>
    <mergeCell ref="B9:E9"/>
    <mergeCell ref="B10:E10"/>
    <mergeCell ref="B11:E11"/>
    <mergeCell ref="B8:F8"/>
    <mergeCell ref="A22:H22"/>
    <mergeCell ref="B12:E12"/>
    <mergeCell ref="B13:E13"/>
    <mergeCell ref="B14:E14"/>
    <mergeCell ref="F14:G14"/>
    <mergeCell ref="B15:E15"/>
    <mergeCell ref="F15:G15"/>
    <mergeCell ref="B16:E16"/>
    <mergeCell ref="B17:E17"/>
    <mergeCell ref="B18:E18"/>
    <mergeCell ref="B19:E19"/>
    <mergeCell ref="A21:H21"/>
    <mergeCell ref="A142:H142"/>
    <mergeCell ref="A23:H23"/>
    <mergeCell ref="A24:H24"/>
    <mergeCell ref="A26:H26"/>
    <mergeCell ref="A28:A29"/>
    <mergeCell ref="B28:B29"/>
    <mergeCell ref="C28:D28"/>
    <mergeCell ref="E28:H28"/>
    <mergeCell ref="A31:H31"/>
    <mergeCell ref="A93:H93"/>
    <mergeCell ref="A108:H108"/>
    <mergeCell ref="A121:H121"/>
    <mergeCell ref="A127:H127"/>
    <mergeCell ref="A151:H151"/>
    <mergeCell ref="B182:H182"/>
    <mergeCell ref="C183:F183"/>
    <mergeCell ref="G183:H183"/>
    <mergeCell ref="C184:F184"/>
    <mergeCell ref="G184:H184"/>
  </mergeCells>
  <pageMargins left="0.59055118110236227" right="0" top="0.39370078740157483" bottom="0.39370078740157483" header="0.31496062992125984" footer="0.31496062992125984"/>
  <pageSetup scale="85" orientation="landscape" horizontalDpi="300" verticalDpi="300" r:id="rId1"/>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8"/>
  <sheetViews>
    <sheetView topLeftCell="A67" zoomScale="112" zoomScaleNormal="112" workbookViewId="0">
      <selection activeCell="D72" sqref="D72"/>
    </sheetView>
  </sheetViews>
  <sheetFormatPr defaultRowHeight="15.75" outlineLevelRow="1"/>
  <cols>
    <col min="1" max="1" width="64.5703125" style="104" customWidth="1"/>
    <col min="2" max="2" width="9.140625" style="108" customWidth="1"/>
    <col min="3" max="3" width="12.28515625" style="108" customWidth="1"/>
    <col min="4" max="4" width="11.85546875" style="108" customWidth="1"/>
    <col min="5" max="5" width="12.140625" style="108" customWidth="1"/>
    <col min="6" max="6" width="11.85546875" style="108" customWidth="1"/>
    <col min="7" max="7" width="14.140625" style="108" customWidth="1"/>
    <col min="8" max="8" width="13.28515625" style="108" customWidth="1"/>
    <col min="9" max="9" width="17.7109375" style="104" customWidth="1"/>
    <col min="10" max="10" width="15.85546875" style="104" customWidth="1"/>
    <col min="11" max="11" width="13" style="104" customWidth="1"/>
    <col min="12" max="16384" width="9.140625" style="104"/>
  </cols>
  <sheetData>
    <row r="1" spans="1:12" ht="18.75" customHeight="1" outlineLevel="1">
      <c r="B1" s="105"/>
      <c r="C1" s="105"/>
      <c r="D1" s="105"/>
      <c r="E1" s="104"/>
      <c r="F1" s="142" t="s">
        <v>0</v>
      </c>
      <c r="G1" s="142"/>
      <c r="H1" s="142"/>
      <c r="J1" s="106"/>
      <c r="K1" s="106"/>
      <c r="L1" s="106"/>
    </row>
    <row r="2" spans="1:12" ht="18.75" customHeight="1" outlineLevel="1">
      <c r="A2" s="107"/>
      <c r="E2" s="104"/>
      <c r="F2" s="401" t="s">
        <v>1</v>
      </c>
      <c r="G2" s="401"/>
      <c r="H2" s="401"/>
      <c r="I2" s="109"/>
      <c r="J2" s="106"/>
      <c r="K2" s="106"/>
      <c r="L2" s="106"/>
    </row>
    <row r="3" spans="1:12" ht="18.75" customHeight="1" outlineLevel="1">
      <c r="A3" s="108"/>
      <c r="E3" s="110"/>
      <c r="F3" s="401"/>
      <c r="G3" s="401"/>
      <c r="H3" s="401"/>
      <c r="I3" s="109"/>
      <c r="J3" s="106"/>
      <c r="K3" s="106"/>
      <c r="L3" s="106"/>
    </row>
    <row r="4" spans="1:12" ht="18.75" customHeight="1" outlineLevel="1">
      <c r="A4" s="108"/>
      <c r="E4" s="110"/>
      <c r="F4" s="401"/>
      <c r="G4" s="401"/>
      <c r="H4" s="401"/>
      <c r="I4" s="109"/>
      <c r="J4" s="106"/>
      <c r="K4" s="106"/>
      <c r="L4" s="106"/>
    </row>
    <row r="5" spans="1:12" ht="18.75" customHeight="1" outlineLevel="1">
      <c r="A5" s="108"/>
      <c r="E5" s="110"/>
      <c r="F5" s="401"/>
      <c r="G5" s="401"/>
      <c r="H5" s="401"/>
      <c r="I5" s="109"/>
      <c r="J5" s="106"/>
      <c r="K5" s="106"/>
      <c r="L5" s="106"/>
    </row>
    <row r="6" spans="1:12" ht="36.75" customHeight="1" outlineLevel="1">
      <c r="B6" s="111"/>
      <c r="C6" s="111"/>
      <c r="D6" s="111"/>
      <c r="F6" s="402"/>
      <c r="G6" s="402"/>
      <c r="H6" s="402"/>
    </row>
    <row r="7" spans="1:12" outlineLevel="1">
      <c r="A7" s="112" t="s">
        <v>2</v>
      </c>
      <c r="B7" s="403">
        <f>'2 кв'!B7:E7</f>
        <v>2024</v>
      </c>
      <c r="C7" s="403"/>
      <c r="D7" s="403"/>
      <c r="E7" s="403"/>
      <c r="F7" s="113"/>
      <c r="G7" s="114"/>
      <c r="H7" s="115" t="s">
        <v>3</v>
      </c>
    </row>
    <row r="8" spans="1:12" ht="46.5" customHeight="1" outlineLevel="1">
      <c r="A8" s="116" t="s">
        <v>4</v>
      </c>
      <c r="B8" s="404" t="s">
        <v>5</v>
      </c>
      <c r="C8" s="404"/>
      <c r="D8" s="404"/>
      <c r="E8" s="404"/>
      <c r="F8" s="443"/>
      <c r="G8" s="117" t="s">
        <v>6</v>
      </c>
      <c r="H8" s="118" t="s">
        <v>7</v>
      </c>
    </row>
    <row r="9" spans="1:12" ht="15.75" customHeight="1" outlineLevel="1">
      <c r="A9" s="119" t="s">
        <v>8</v>
      </c>
      <c r="B9" s="403" t="s">
        <v>9</v>
      </c>
      <c r="C9" s="403"/>
      <c r="D9" s="403"/>
      <c r="E9" s="403"/>
      <c r="F9" s="113"/>
      <c r="G9" s="117" t="s">
        <v>10</v>
      </c>
      <c r="H9" s="115">
        <v>150</v>
      </c>
    </row>
    <row r="10" spans="1:12" outlineLevel="1">
      <c r="A10" s="119" t="s">
        <v>11</v>
      </c>
      <c r="B10" s="403"/>
      <c r="C10" s="403"/>
      <c r="D10" s="403"/>
      <c r="E10" s="403"/>
      <c r="F10" s="113"/>
      <c r="G10" s="117" t="s">
        <v>12</v>
      </c>
      <c r="H10" s="115">
        <v>5922386401</v>
      </c>
    </row>
    <row r="11" spans="1:12" ht="15.75" customHeight="1" outlineLevel="1">
      <c r="A11" s="120" t="s">
        <v>253</v>
      </c>
      <c r="B11" s="403" t="s">
        <v>14</v>
      </c>
      <c r="C11" s="403"/>
      <c r="D11" s="403"/>
      <c r="E11" s="403"/>
      <c r="F11" s="121"/>
      <c r="G11" s="117" t="s">
        <v>15</v>
      </c>
      <c r="H11" s="115"/>
    </row>
    <row r="12" spans="1:12" outlineLevel="1">
      <c r="A12" s="120" t="s">
        <v>16</v>
      </c>
      <c r="B12" s="403"/>
      <c r="C12" s="403"/>
      <c r="D12" s="403"/>
      <c r="E12" s="403"/>
      <c r="F12" s="121"/>
      <c r="G12" s="117" t="s">
        <v>17</v>
      </c>
      <c r="H12" s="115"/>
    </row>
    <row r="13" spans="1:12" outlineLevel="1">
      <c r="A13" s="120" t="s">
        <v>18</v>
      </c>
      <c r="B13" s="403"/>
      <c r="C13" s="403"/>
      <c r="D13" s="403"/>
      <c r="E13" s="403"/>
      <c r="F13" s="121"/>
      <c r="G13" s="117" t="s">
        <v>19</v>
      </c>
      <c r="H13" s="115" t="s">
        <v>260</v>
      </c>
    </row>
    <row r="14" spans="1:12" ht="15.75" customHeight="1" outlineLevel="1">
      <c r="A14" s="120" t="s">
        <v>20</v>
      </c>
      <c r="B14" s="403"/>
      <c r="C14" s="403"/>
      <c r="D14" s="403"/>
      <c r="E14" s="403"/>
      <c r="F14" s="403" t="s">
        <v>21</v>
      </c>
      <c r="G14" s="405"/>
      <c r="H14" s="122"/>
    </row>
    <row r="15" spans="1:12" ht="15.75" customHeight="1" outlineLevel="1">
      <c r="A15" s="120" t="s">
        <v>22</v>
      </c>
      <c r="B15" s="403" t="s">
        <v>23</v>
      </c>
      <c r="C15" s="403"/>
      <c r="D15" s="403"/>
      <c r="E15" s="403"/>
      <c r="F15" s="403" t="s">
        <v>24</v>
      </c>
      <c r="G15" s="405"/>
      <c r="H15" s="122"/>
    </row>
    <row r="16" spans="1:12" outlineLevel="1">
      <c r="A16" s="120" t="s">
        <v>25</v>
      </c>
      <c r="B16" s="406">
        <f>F152</f>
        <v>111</v>
      </c>
      <c r="C16" s="406"/>
      <c r="D16" s="406"/>
      <c r="E16" s="406"/>
      <c r="F16" s="123"/>
      <c r="G16" s="123"/>
      <c r="H16" s="123"/>
    </row>
    <row r="17" spans="1:16" ht="15.75" customHeight="1" outlineLevel="1">
      <c r="A17" s="119" t="s">
        <v>26</v>
      </c>
      <c r="B17" s="403" t="s">
        <v>27</v>
      </c>
      <c r="C17" s="403"/>
      <c r="D17" s="403"/>
      <c r="E17" s="403"/>
      <c r="F17" s="124"/>
      <c r="G17" s="124"/>
      <c r="H17" s="124"/>
    </row>
    <row r="18" spans="1:16" outlineLevel="1">
      <c r="A18" s="120" t="s">
        <v>28</v>
      </c>
      <c r="B18" s="403" t="s">
        <v>269</v>
      </c>
      <c r="C18" s="403"/>
      <c r="D18" s="403"/>
      <c r="E18" s="403"/>
      <c r="F18" s="123"/>
      <c r="G18" s="123"/>
      <c r="H18" s="123"/>
    </row>
    <row r="19" spans="1:16" ht="15.75" customHeight="1" outlineLevel="1">
      <c r="A19" s="119" t="s">
        <v>30</v>
      </c>
      <c r="B19" s="403" t="s">
        <v>31</v>
      </c>
      <c r="C19" s="403"/>
      <c r="D19" s="403"/>
      <c r="E19" s="403"/>
      <c r="F19" s="124"/>
      <c r="G19" s="124"/>
      <c r="H19" s="124"/>
    </row>
    <row r="20" spans="1:16" ht="19.5" customHeight="1" outlineLevel="1">
      <c r="A20" s="110"/>
      <c r="B20" s="104"/>
      <c r="C20" s="104"/>
      <c r="D20" s="104"/>
      <c r="E20" s="104"/>
      <c r="F20" s="104"/>
      <c r="G20" s="104"/>
      <c r="H20" s="104"/>
    </row>
    <row r="21" spans="1:16" ht="19.5" customHeight="1" outlineLevel="1">
      <c r="A21" s="407" t="s">
        <v>32</v>
      </c>
      <c r="B21" s="407"/>
      <c r="C21" s="407"/>
      <c r="D21" s="407"/>
      <c r="E21" s="407"/>
      <c r="F21" s="407"/>
      <c r="G21" s="407"/>
      <c r="H21" s="407"/>
    </row>
    <row r="22" spans="1:16" outlineLevel="1">
      <c r="A22" s="407" t="s">
        <v>33</v>
      </c>
      <c r="B22" s="407"/>
      <c r="C22" s="407"/>
      <c r="D22" s="407"/>
      <c r="E22" s="407"/>
      <c r="F22" s="407"/>
      <c r="G22" s="407"/>
      <c r="H22" s="407"/>
    </row>
    <row r="23" spans="1:16">
      <c r="A23" s="407" t="s">
        <v>271</v>
      </c>
      <c r="B23" s="407"/>
      <c r="C23" s="407"/>
      <c r="D23" s="407"/>
      <c r="E23" s="407"/>
      <c r="F23" s="407"/>
      <c r="G23" s="407"/>
      <c r="H23" s="407"/>
    </row>
    <row r="24" spans="1:16">
      <c r="A24" s="408" t="s">
        <v>34</v>
      </c>
      <c r="B24" s="408"/>
      <c r="C24" s="408"/>
      <c r="D24" s="408"/>
      <c r="E24" s="408"/>
      <c r="F24" s="408"/>
      <c r="G24" s="408"/>
      <c r="H24" s="408"/>
    </row>
    <row r="25" spans="1:16" ht="9" customHeight="1">
      <c r="A25" s="125"/>
      <c r="B25" s="125"/>
      <c r="C25" s="125"/>
      <c r="D25" s="125"/>
      <c r="E25" s="125"/>
      <c r="F25" s="125"/>
      <c r="G25" s="125"/>
      <c r="H25" s="125"/>
    </row>
    <row r="26" spans="1:16">
      <c r="A26" s="407" t="s">
        <v>35</v>
      </c>
      <c r="B26" s="407"/>
      <c r="C26" s="407"/>
      <c r="D26" s="407"/>
      <c r="E26" s="407"/>
      <c r="F26" s="407"/>
      <c r="G26" s="407"/>
      <c r="H26" s="407"/>
    </row>
    <row r="27" spans="1:16" ht="12" customHeight="1">
      <c r="B27" s="126"/>
      <c r="C27" s="126"/>
      <c r="D27" s="126"/>
      <c r="E27" s="126"/>
      <c r="F27" s="126"/>
      <c r="G27" s="126"/>
      <c r="H27" s="126"/>
    </row>
    <row r="28" spans="1:16" ht="48.75" customHeight="1">
      <c r="A28" s="409" t="s">
        <v>36</v>
      </c>
      <c r="B28" s="411" t="s">
        <v>37</v>
      </c>
      <c r="C28" s="413" t="s">
        <v>38</v>
      </c>
      <c r="D28" s="414"/>
      <c r="E28" s="415" t="s">
        <v>273</v>
      </c>
      <c r="F28" s="416"/>
      <c r="G28" s="416"/>
      <c r="H28" s="417"/>
    </row>
    <row r="29" spans="1:16" ht="32.25" customHeight="1">
      <c r="A29" s="410"/>
      <c r="B29" s="412"/>
      <c r="C29" s="144" t="s">
        <v>39</v>
      </c>
      <c r="D29" s="144" t="s">
        <v>40</v>
      </c>
      <c r="E29" s="144" t="s">
        <v>41</v>
      </c>
      <c r="F29" s="144" t="s">
        <v>42</v>
      </c>
      <c r="G29" s="144" t="s">
        <v>43</v>
      </c>
      <c r="H29" s="144" t="s">
        <v>44</v>
      </c>
    </row>
    <row r="30" spans="1:16">
      <c r="A30" s="143">
        <v>1</v>
      </c>
      <c r="B30" s="144">
        <v>2</v>
      </c>
      <c r="C30" s="143">
        <v>3</v>
      </c>
      <c r="D30" s="144">
        <v>4</v>
      </c>
      <c r="E30" s="143">
        <v>5</v>
      </c>
      <c r="F30" s="144">
        <v>6</v>
      </c>
      <c r="G30" s="143">
        <v>7</v>
      </c>
      <c r="H30" s="144">
        <v>8</v>
      </c>
    </row>
    <row r="31" spans="1:16" s="127" customFormat="1" ht="19.5" customHeight="1">
      <c r="A31" s="418" t="s">
        <v>45</v>
      </c>
      <c r="B31" s="419"/>
      <c r="C31" s="419"/>
      <c r="D31" s="419"/>
      <c r="E31" s="419"/>
      <c r="F31" s="419"/>
      <c r="G31" s="419"/>
      <c r="H31" s="420"/>
    </row>
    <row r="32" spans="1:16" s="127" customFormat="1">
      <c r="A32" s="146" t="s">
        <v>46</v>
      </c>
      <c r="B32" s="143">
        <v>1000</v>
      </c>
      <c r="C32" s="299">
        <f>C33+C36+C37+C40</f>
        <v>18982.600000000002</v>
      </c>
      <c r="D32" s="299">
        <f>D33+D36+D37+D40</f>
        <v>17165.398000000001</v>
      </c>
      <c r="E32" s="299">
        <f>E33+E36+E37+E40</f>
        <v>7841.9948052</v>
      </c>
      <c r="F32" s="299">
        <f>F33+F36+F40+F37</f>
        <v>5452.7980000000007</v>
      </c>
      <c r="G32" s="299">
        <f>F32-E32</f>
        <v>-2389.1968051999993</v>
      </c>
      <c r="H32" s="300">
        <f>(F32/E32)*100</f>
        <v>69.533302883397326</v>
      </c>
      <c r="I32" s="128"/>
      <c r="J32" s="128"/>
      <c r="K32" s="128"/>
      <c r="L32" s="128"/>
      <c r="M32" s="128"/>
      <c r="N32" s="128"/>
      <c r="O32" s="128"/>
      <c r="P32" s="128"/>
    </row>
    <row r="33" spans="1:16" s="127" customFormat="1">
      <c r="A33" s="146" t="s">
        <v>47</v>
      </c>
      <c r="B33" s="143">
        <v>1010</v>
      </c>
      <c r="C33" s="301">
        <f>C34+C35</f>
        <v>13497.7</v>
      </c>
      <c r="D33" s="299">
        <f>D34+D35</f>
        <v>15801.13</v>
      </c>
      <c r="E33" s="299">
        <f>E34+E35</f>
        <v>5911.3881249576507</v>
      </c>
      <c r="F33" s="299">
        <f>F34+F35</f>
        <v>5145.3300000000008</v>
      </c>
      <c r="G33" s="299">
        <f>F33-E33</f>
        <v>-766.05812495764985</v>
      </c>
      <c r="H33" s="300">
        <f>(F33/E33)*100</f>
        <v>87.040977368354774</v>
      </c>
      <c r="I33" s="128"/>
      <c r="J33" s="128"/>
      <c r="K33" s="128"/>
      <c r="L33" s="128"/>
      <c r="M33" s="128"/>
      <c r="N33" s="128"/>
      <c r="O33" s="128"/>
      <c r="P33" s="128"/>
    </row>
    <row r="34" spans="1:16" s="127" customFormat="1">
      <c r="A34" s="150" t="s">
        <v>48</v>
      </c>
      <c r="B34" s="143">
        <v>1011</v>
      </c>
      <c r="C34" s="302">
        <f>'2023'!E34</f>
        <v>234.78</v>
      </c>
      <c r="D34" s="302">
        <f>F34+'2 кв'!D34</f>
        <v>563.79999999999995</v>
      </c>
      <c r="E34" s="302">
        <f>план!I39</f>
        <v>0</v>
      </c>
      <c r="F34" s="302">
        <v>563.79999999999995</v>
      </c>
      <c r="G34" s="302"/>
      <c r="H34" s="303"/>
      <c r="I34" s="128"/>
      <c r="J34" s="128"/>
      <c r="K34" s="128"/>
      <c r="L34" s="128"/>
      <c r="M34" s="128"/>
      <c r="N34" s="128"/>
      <c r="O34" s="128"/>
      <c r="P34" s="128"/>
    </row>
    <row r="35" spans="1:16" s="127" customFormat="1" ht="31.5">
      <c r="A35" s="150" t="s">
        <v>49</v>
      </c>
      <c r="B35" s="143">
        <v>1012</v>
      </c>
      <c r="C35" s="302">
        <f>'2023'!E35</f>
        <v>13262.92</v>
      </c>
      <c r="D35" s="302">
        <f>F35+'2 кв'!D35</f>
        <v>15237.33</v>
      </c>
      <c r="E35" s="302">
        <f>план!I40</f>
        <v>5911.3881249576507</v>
      </c>
      <c r="F35" s="302">
        <f>4623.6-42.07</f>
        <v>4581.5300000000007</v>
      </c>
      <c r="G35" s="302">
        <f>F35-E35</f>
        <v>-1329.85812495765</v>
      </c>
      <c r="H35" s="303">
        <f>(F35/E35)*100</f>
        <v>77.503454402815464</v>
      </c>
      <c r="I35" s="128"/>
      <c r="J35" s="345"/>
      <c r="K35" s="128"/>
      <c r="L35" s="128"/>
      <c r="M35" s="128"/>
      <c r="N35" s="128"/>
      <c r="O35" s="128"/>
      <c r="P35" s="128"/>
    </row>
    <row r="36" spans="1:16" s="127" customFormat="1" ht="15" customHeight="1">
      <c r="A36" s="146" t="s">
        <v>50</v>
      </c>
      <c r="B36" s="143">
        <v>1020</v>
      </c>
      <c r="C36" s="346">
        <f>'2023'!E36</f>
        <v>4600</v>
      </c>
      <c r="D36" s="346">
        <f>F36+'2 кв'!D36</f>
        <v>0</v>
      </c>
      <c r="E36" s="346">
        <f>план!I41</f>
        <v>900</v>
      </c>
      <c r="F36" s="346"/>
      <c r="G36" s="346">
        <f>F36-E36</f>
        <v>-900</v>
      </c>
      <c r="H36" s="344"/>
      <c r="I36" s="128"/>
      <c r="J36" s="128"/>
      <c r="K36" s="128"/>
      <c r="L36" s="128"/>
      <c r="M36" s="128"/>
      <c r="N36" s="128"/>
      <c r="O36" s="128"/>
      <c r="P36" s="128"/>
    </row>
    <row r="37" spans="1:16" s="127" customFormat="1" ht="18" customHeight="1">
      <c r="A37" s="146" t="s">
        <v>51</v>
      </c>
      <c r="B37" s="143">
        <v>1030</v>
      </c>
      <c r="C37" s="346">
        <f>'2023'!E37</f>
        <v>622.70000000000005</v>
      </c>
      <c r="D37" s="346">
        <f>D38+D39</f>
        <v>1349.28</v>
      </c>
      <c r="E37" s="346">
        <f>план!I42</f>
        <v>1030.6066802423491</v>
      </c>
      <c r="F37" s="346">
        <f>F38+F39</f>
        <v>306.88</v>
      </c>
      <c r="G37" s="346">
        <f>F37-E37</f>
        <v>-723.72668024234906</v>
      </c>
      <c r="H37" s="344">
        <f>(F37/E37)*100</f>
        <v>29.776636022564556</v>
      </c>
      <c r="I37" s="128"/>
      <c r="J37" s="128"/>
      <c r="K37" s="128"/>
      <c r="L37" s="128"/>
      <c r="M37" s="128"/>
      <c r="N37" s="128"/>
      <c r="O37" s="128"/>
      <c r="P37" s="128"/>
    </row>
    <row r="38" spans="1:16" s="127" customFormat="1">
      <c r="A38" s="151" t="s">
        <v>259</v>
      </c>
      <c r="B38" s="143">
        <v>1031</v>
      </c>
      <c r="C38" s="302">
        <f>'2023'!E38</f>
        <v>622.70000000000005</v>
      </c>
      <c r="D38" s="302">
        <f>F38+'2 кв'!D38</f>
        <v>849.28</v>
      </c>
      <c r="E38" s="302">
        <f>план!I43</f>
        <v>338.606680242349</v>
      </c>
      <c r="F38" s="302">
        <v>306.88</v>
      </c>
      <c r="G38" s="302">
        <f>F38-E38</f>
        <v>-31.726680242349005</v>
      </c>
      <c r="H38" s="303">
        <f>(F38/E38)*100</f>
        <v>90.630226131498219</v>
      </c>
      <c r="I38" s="128"/>
      <c r="J38" s="128"/>
      <c r="K38" s="128"/>
      <c r="L38" s="128"/>
      <c r="M38" s="128"/>
      <c r="N38" s="128"/>
      <c r="O38" s="128"/>
      <c r="P38" s="128"/>
    </row>
    <row r="39" spans="1:16" s="127" customFormat="1">
      <c r="A39" s="151" t="s">
        <v>268</v>
      </c>
      <c r="B39" s="143">
        <v>1032</v>
      </c>
      <c r="C39" s="302">
        <f>'2023'!E39</f>
        <v>0</v>
      </c>
      <c r="D39" s="302">
        <f>'2 кв'!D39+F39</f>
        <v>500</v>
      </c>
      <c r="E39" s="302">
        <f>план!I44</f>
        <v>692</v>
      </c>
      <c r="F39" s="302"/>
      <c r="G39" s="302"/>
      <c r="H39" s="303"/>
      <c r="I39" s="128"/>
      <c r="J39" s="128"/>
      <c r="K39" s="128"/>
      <c r="L39" s="128"/>
      <c r="M39" s="128"/>
      <c r="N39" s="128"/>
      <c r="O39" s="128"/>
      <c r="P39" s="128"/>
    </row>
    <row r="40" spans="1:16" s="127" customFormat="1">
      <c r="A40" s="146" t="s">
        <v>53</v>
      </c>
      <c r="B40" s="143">
        <v>1040</v>
      </c>
      <c r="C40" s="304">
        <f t="shared" ref="C40:H40" si="0">C41+C42+C43+C44+C45</f>
        <v>262.2</v>
      </c>
      <c r="D40" s="304">
        <f t="shared" si="0"/>
        <v>14.987999999999998</v>
      </c>
      <c r="E40" s="302">
        <f>план!I45</f>
        <v>0</v>
      </c>
      <c r="F40" s="343">
        <f t="shared" si="0"/>
        <v>0.58799999999999997</v>
      </c>
      <c r="G40" s="343">
        <f t="shared" si="0"/>
        <v>0.58799999999999997</v>
      </c>
      <c r="H40" s="343">
        <f t="shared" si="0"/>
        <v>0</v>
      </c>
      <c r="I40" s="128"/>
      <c r="J40" s="128"/>
      <c r="K40" s="128"/>
      <c r="L40" s="128"/>
      <c r="M40" s="128"/>
      <c r="N40" s="128"/>
      <c r="O40" s="128"/>
      <c r="P40" s="128"/>
    </row>
    <row r="41" spans="1:16" s="127" customFormat="1">
      <c r="A41" s="150" t="s">
        <v>54</v>
      </c>
      <c r="B41" s="143">
        <v>1041</v>
      </c>
      <c r="C41" s="302">
        <f>'2023'!E41</f>
        <v>0</v>
      </c>
      <c r="D41" s="302">
        <f>F41+'2 кв'!D41</f>
        <v>0</v>
      </c>
      <c r="E41" s="302">
        <f>план!I46</f>
        <v>0</v>
      </c>
      <c r="F41" s="302"/>
      <c r="G41" s="302">
        <f t="shared" ref="G41:G47" si="1">F41-E41</f>
        <v>0</v>
      </c>
      <c r="H41" s="303"/>
      <c r="I41" s="128"/>
      <c r="J41" s="128"/>
      <c r="K41" s="128"/>
      <c r="L41" s="128"/>
      <c r="M41" s="128"/>
      <c r="N41" s="128"/>
      <c r="O41" s="128"/>
      <c r="P41" s="128"/>
    </row>
    <row r="42" spans="1:16" s="127" customFormat="1">
      <c r="A42" s="150" t="s">
        <v>55</v>
      </c>
      <c r="B42" s="143">
        <v>1042</v>
      </c>
      <c r="C42" s="302">
        <f>'2023'!E42</f>
        <v>0</v>
      </c>
      <c r="D42" s="302">
        <f>F42+'2 кв'!D42</f>
        <v>0</v>
      </c>
      <c r="E42" s="302">
        <f>план!I47</f>
        <v>0</v>
      </c>
      <c r="F42" s="302"/>
      <c r="G42" s="302">
        <f t="shared" si="1"/>
        <v>0</v>
      </c>
      <c r="H42" s="303"/>
      <c r="I42" s="128"/>
      <c r="J42" s="128"/>
      <c r="K42" s="128"/>
      <c r="L42" s="128"/>
      <c r="M42" s="128"/>
      <c r="N42" s="128"/>
      <c r="O42" s="128"/>
      <c r="P42" s="128"/>
    </row>
    <row r="43" spans="1:16" s="127" customFormat="1" ht="21.75" customHeight="1">
      <c r="A43" s="154" t="s">
        <v>56</v>
      </c>
      <c r="B43" s="143">
        <v>1043</v>
      </c>
      <c r="C43" s="302">
        <f>'2023'!E43</f>
        <v>0</v>
      </c>
      <c r="D43" s="302">
        <f>F43+'2 кв'!D43</f>
        <v>0</v>
      </c>
      <c r="E43" s="302">
        <f>план!I48</f>
        <v>0</v>
      </c>
      <c r="F43" s="302"/>
      <c r="G43" s="302">
        <f t="shared" si="1"/>
        <v>0</v>
      </c>
      <c r="H43" s="303"/>
      <c r="I43" s="128"/>
      <c r="J43" s="128"/>
      <c r="K43" s="128"/>
      <c r="L43" s="128"/>
      <c r="M43" s="128"/>
      <c r="N43" s="128"/>
      <c r="O43" s="128"/>
      <c r="P43" s="128"/>
    </row>
    <row r="44" spans="1:16" s="127" customFormat="1" ht="19.5" customHeight="1">
      <c r="A44" s="154" t="s">
        <v>57</v>
      </c>
      <c r="B44" s="143">
        <v>1044</v>
      </c>
      <c r="C44" s="302">
        <f>'2023'!E44</f>
        <v>262.2</v>
      </c>
      <c r="D44" s="302">
        <f>F44+'2 кв'!D44</f>
        <v>14.987999999999998</v>
      </c>
      <c r="E44" s="302">
        <f>план!I49</f>
        <v>0</v>
      </c>
      <c r="F44" s="302">
        <v>0.58799999999999997</v>
      </c>
      <c r="G44" s="302">
        <f t="shared" si="1"/>
        <v>0.58799999999999997</v>
      </c>
      <c r="H44" s="303"/>
      <c r="I44" s="128"/>
      <c r="J44" s="128"/>
      <c r="K44" s="128"/>
      <c r="L44" s="128"/>
      <c r="M44" s="128"/>
      <c r="N44" s="128"/>
      <c r="O44" s="128"/>
      <c r="P44" s="128"/>
    </row>
    <row r="45" spans="1:16" s="127" customFormat="1">
      <c r="A45" s="155" t="s">
        <v>254</v>
      </c>
      <c r="B45" s="143">
        <v>1045</v>
      </c>
      <c r="C45" s="302">
        <f>'2023'!E45</f>
        <v>0</v>
      </c>
      <c r="D45" s="302">
        <f>F45+'2 кв'!D45</f>
        <v>0</v>
      </c>
      <c r="E45" s="302">
        <f>E46+E47</f>
        <v>0</v>
      </c>
      <c r="F45" s="302">
        <f>F46+F47</f>
        <v>0</v>
      </c>
      <c r="G45" s="302">
        <f t="shared" si="1"/>
        <v>0</v>
      </c>
      <c r="H45" s="303"/>
      <c r="I45" s="128"/>
      <c r="J45" s="128"/>
      <c r="K45" s="128"/>
      <c r="L45" s="128"/>
      <c r="M45" s="128"/>
      <c r="N45" s="128"/>
      <c r="O45" s="128"/>
      <c r="P45" s="128"/>
    </row>
    <row r="46" spans="1:16" s="127" customFormat="1">
      <c r="A46" s="155" t="s">
        <v>59</v>
      </c>
      <c r="B46" s="143" t="s">
        <v>60</v>
      </c>
      <c r="C46" s="302">
        <f>'2023'!E46</f>
        <v>0</v>
      </c>
      <c r="D46" s="302">
        <f>F46+'2 кв'!D46</f>
        <v>0</v>
      </c>
      <c r="E46" s="302"/>
      <c r="F46" s="302"/>
      <c r="G46" s="302">
        <f t="shared" si="1"/>
        <v>0</v>
      </c>
      <c r="H46" s="303"/>
      <c r="I46" s="128"/>
      <c r="K46" s="128"/>
      <c r="L46" s="128"/>
      <c r="M46" s="128"/>
      <c r="N46" s="128"/>
      <c r="O46" s="128"/>
      <c r="P46" s="128"/>
    </row>
    <row r="47" spans="1:16" s="127" customFormat="1" ht="18.75">
      <c r="A47" s="155"/>
      <c r="B47" s="143"/>
      <c r="C47" s="349"/>
      <c r="D47" s="347"/>
      <c r="E47" s="347"/>
      <c r="F47" s="347"/>
      <c r="G47" s="347">
        <f t="shared" si="1"/>
        <v>0</v>
      </c>
      <c r="H47" s="305"/>
      <c r="I47" s="128"/>
      <c r="K47" s="128"/>
      <c r="L47" s="128"/>
      <c r="M47" s="128"/>
      <c r="N47" s="128"/>
      <c r="O47" s="128"/>
      <c r="P47" s="128"/>
    </row>
    <row r="48" spans="1:16" s="127" customFormat="1">
      <c r="A48" s="156" t="s">
        <v>62</v>
      </c>
      <c r="B48" s="143">
        <v>2000</v>
      </c>
      <c r="C48" s="299">
        <f>C49+C74</f>
        <v>16557.520543400002</v>
      </c>
      <c r="D48" s="299">
        <f>D49+D74</f>
        <v>16814.030000000002</v>
      </c>
      <c r="E48" s="299">
        <f>E49+E74</f>
        <v>7841.9948052</v>
      </c>
      <c r="F48" s="299">
        <f>F49+F74</f>
        <v>5748.76</v>
      </c>
      <c r="G48" s="299">
        <f>F48-E48</f>
        <v>-2093.2348051999998</v>
      </c>
      <c r="H48" s="300">
        <f t="shared" ref="H48:H54" si="2">(F48/E48)*100</f>
        <v>73.307368122560064</v>
      </c>
      <c r="I48" s="128"/>
      <c r="J48" s="128"/>
      <c r="K48" s="128"/>
      <c r="L48" s="128"/>
      <c r="M48" s="128"/>
      <c r="N48" s="128"/>
      <c r="O48" s="128"/>
      <c r="P48" s="128"/>
    </row>
    <row r="49" spans="1:16" s="127" customFormat="1">
      <c r="A49" s="157" t="s">
        <v>63</v>
      </c>
      <c r="B49" s="143">
        <v>2010</v>
      </c>
      <c r="C49" s="301">
        <f>C50+C51+C52+C66+C67+C68+C72+C73</f>
        <v>16557.520543400002</v>
      </c>
      <c r="D49" s="301">
        <f>D50+D51+D52+D66+D67+D68+D72+D73</f>
        <v>16814.030000000002</v>
      </c>
      <c r="E49" s="301">
        <f>E50+E51+E52+E66+E67+E68+E72+E73</f>
        <v>7609.4948052</v>
      </c>
      <c r="F49" s="299">
        <f>F50+F51+F52+F66+F67+F68+F72+F73</f>
        <v>5748.76</v>
      </c>
      <c r="G49" s="299">
        <f>G50+G51+G52+G66+G67+G68+G72+G73</f>
        <v>-1860.7348051999986</v>
      </c>
      <c r="H49" s="300">
        <f t="shared" si="2"/>
        <v>75.547196590127726</v>
      </c>
      <c r="I49" s="128"/>
      <c r="K49" s="128"/>
      <c r="L49" s="128"/>
      <c r="M49" s="128"/>
      <c r="N49" s="128"/>
      <c r="O49" s="128"/>
      <c r="P49" s="128"/>
    </row>
    <row r="50" spans="1:16" s="127" customFormat="1">
      <c r="A50" s="158" t="s">
        <v>64</v>
      </c>
      <c r="B50" s="143">
        <v>2010</v>
      </c>
      <c r="C50" s="302">
        <f>'2023'!E50</f>
        <v>11508.588970000001</v>
      </c>
      <c r="D50" s="302">
        <f>F50+'2 кв'!D50</f>
        <v>11575.080000000002</v>
      </c>
      <c r="E50" s="205">
        <f>план!I55</f>
        <v>5118.7649999999994</v>
      </c>
      <c r="F50" s="205">
        <f>F166</f>
        <v>3956.5800000000008</v>
      </c>
      <c r="G50" s="205">
        <f t="shared" ref="G50:G88" si="3">F50-E50</f>
        <v>-1162.1849999999986</v>
      </c>
      <c r="H50" s="306">
        <f t="shared" si="2"/>
        <v>77.295597668578282</v>
      </c>
      <c r="I50" s="128"/>
      <c r="J50" s="128"/>
      <c r="K50" s="128"/>
      <c r="L50" s="128"/>
      <c r="M50" s="128"/>
      <c r="N50" s="128"/>
      <c r="O50" s="128"/>
      <c r="P50" s="128"/>
    </row>
    <row r="51" spans="1:16" s="127" customFormat="1">
      <c r="A51" s="158" t="s">
        <v>65</v>
      </c>
      <c r="B51" s="143">
        <v>2011</v>
      </c>
      <c r="C51" s="302">
        <f>'2023'!E51</f>
        <v>2636.5015733999985</v>
      </c>
      <c r="D51" s="302">
        <f>F51+'2 кв'!D51</f>
        <v>2611.2700000000004</v>
      </c>
      <c r="E51" s="205">
        <f>план!I56</f>
        <v>1126.1282999999999</v>
      </c>
      <c r="F51" s="205">
        <f>F103</f>
        <v>886.8</v>
      </c>
      <c r="G51" s="205">
        <f t="shared" si="3"/>
        <v>-239.3282999999999</v>
      </c>
      <c r="H51" s="306">
        <f t="shared" si="2"/>
        <v>78.747687985463116</v>
      </c>
      <c r="I51" s="128"/>
      <c r="K51" s="128"/>
      <c r="L51" s="128"/>
      <c r="M51" s="128"/>
      <c r="N51" s="128"/>
      <c r="O51" s="128"/>
      <c r="P51" s="128"/>
    </row>
    <row r="52" spans="1:16" s="127" customFormat="1">
      <c r="A52" s="159" t="s">
        <v>66</v>
      </c>
      <c r="B52" s="143">
        <v>2020</v>
      </c>
      <c r="C52" s="348">
        <f>C53+C54+C55+C56+C57+C58+C59</f>
        <v>2005.4299999999998</v>
      </c>
      <c r="D52" s="348">
        <f>D53+D54+D55+D56+D57+D58+D59</f>
        <v>2302.38</v>
      </c>
      <c r="E52" s="350">
        <f>E53+E54+E55+E56+E57+E58+E59</f>
        <v>1253.0015052000001</v>
      </c>
      <c r="F52" s="350">
        <f>F53+F54+F55+F56+F57+F58+F59</f>
        <v>796.57999999999993</v>
      </c>
      <c r="G52" s="350">
        <f t="shared" si="3"/>
        <v>-456.42150520000018</v>
      </c>
      <c r="H52" s="307">
        <f t="shared" si="2"/>
        <v>63.573746455544153</v>
      </c>
      <c r="I52" s="128"/>
      <c r="K52" s="128"/>
      <c r="L52" s="128"/>
      <c r="M52" s="128"/>
      <c r="N52" s="128"/>
      <c r="O52" s="128"/>
      <c r="P52" s="128"/>
    </row>
    <row r="53" spans="1:16" s="127" customFormat="1">
      <c r="A53" s="158" t="s">
        <v>67</v>
      </c>
      <c r="B53" s="143">
        <v>2021</v>
      </c>
      <c r="C53" s="302">
        <f>'2023'!E53</f>
        <v>137.30000000000001</v>
      </c>
      <c r="D53" s="302">
        <f>F53+'2 кв'!D53</f>
        <v>96.3</v>
      </c>
      <c r="E53" s="205">
        <f>план!I58</f>
        <v>100</v>
      </c>
      <c r="F53" s="205">
        <v>38.799999999999997</v>
      </c>
      <c r="G53" s="205">
        <f t="shared" si="3"/>
        <v>-61.2</v>
      </c>
      <c r="H53" s="306">
        <f t="shared" si="2"/>
        <v>38.799999999999997</v>
      </c>
      <c r="I53" s="128"/>
      <c r="K53" s="128"/>
      <c r="L53" s="128"/>
      <c r="M53" s="128"/>
      <c r="N53" s="128"/>
      <c r="O53" s="128"/>
      <c r="P53" s="128"/>
    </row>
    <row r="54" spans="1:16" s="127" customFormat="1">
      <c r="A54" s="158" t="s">
        <v>68</v>
      </c>
      <c r="B54" s="143">
        <v>2022</v>
      </c>
      <c r="C54" s="302">
        <f>'2023'!E54</f>
        <v>1071.2</v>
      </c>
      <c r="D54" s="302">
        <f>F54+'2 кв'!D54</f>
        <v>1225.2</v>
      </c>
      <c r="E54" s="205">
        <f>план!I59</f>
        <v>750</v>
      </c>
      <c r="F54" s="205">
        <f>453-34.2</f>
        <v>418.8</v>
      </c>
      <c r="G54" s="205">
        <f t="shared" si="3"/>
        <v>-331.2</v>
      </c>
      <c r="H54" s="306">
        <f t="shared" si="2"/>
        <v>55.84</v>
      </c>
      <c r="I54" s="128"/>
      <c r="K54" s="128"/>
      <c r="L54" s="128"/>
      <c r="M54" s="128"/>
      <c r="N54" s="128"/>
      <c r="O54" s="128"/>
      <c r="P54" s="128"/>
    </row>
    <row r="55" spans="1:16" s="127" customFormat="1">
      <c r="A55" s="158" t="s">
        <v>69</v>
      </c>
      <c r="B55" s="143">
        <v>2023</v>
      </c>
      <c r="C55" s="302">
        <f>'2023'!E55</f>
        <v>0</v>
      </c>
      <c r="D55" s="302">
        <f>F55+'2 кв'!D55</f>
        <v>0</v>
      </c>
      <c r="E55" s="205">
        <f>план!I60</f>
        <v>0</v>
      </c>
      <c r="F55" s="205"/>
      <c r="G55" s="205">
        <f t="shared" si="3"/>
        <v>0</v>
      </c>
      <c r="H55" s="306"/>
      <c r="I55" s="128"/>
      <c r="K55" s="128"/>
      <c r="L55" s="128"/>
      <c r="M55" s="128"/>
      <c r="N55" s="128"/>
      <c r="O55" s="128"/>
      <c r="P55" s="128"/>
    </row>
    <row r="56" spans="1:16" s="127" customFormat="1">
      <c r="A56" s="158" t="s">
        <v>70</v>
      </c>
      <c r="B56" s="143">
        <v>2024</v>
      </c>
      <c r="C56" s="302">
        <f>'2023'!E56</f>
        <v>286.5</v>
      </c>
      <c r="D56" s="302">
        <f>F56+'2 кв'!D56</f>
        <v>263.39999999999998</v>
      </c>
      <c r="E56" s="205">
        <f>план!I61</f>
        <v>135</v>
      </c>
      <c r="F56" s="205">
        <v>75.400000000000006</v>
      </c>
      <c r="G56" s="205">
        <f t="shared" si="3"/>
        <v>-59.599999999999994</v>
      </c>
      <c r="H56" s="306">
        <f>(F56/E56)*100</f>
        <v>55.851851851851855</v>
      </c>
      <c r="I56" s="128"/>
      <c r="K56" s="128"/>
      <c r="L56" s="128"/>
      <c r="M56" s="128"/>
      <c r="N56" s="128"/>
      <c r="O56" s="128"/>
      <c r="P56" s="128"/>
    </row>
    <row r="57" spans="1:16" s="127" customFormat="1">
      <c r="A57" s="158" t="s">
        <v>71</v>
      </c>
      <c r="B57" s="143">
        <v>2025</v>
      </c>
      <c r="C57" s="302">
        <f>'2023'!E57</f>
        <v>0</v>
      </c>
      <c r="D57" s="302">
        <f>F57+'2 кв'!D57</f>
        <v>0</v>
      </c>
      <c r="E57" s="205">
        <f>план!I62</f>
        <v>0</v>
      </c>
      <c r="F57" s="205"/>
      <c r="G57" s="205">
        <f t="shared" si="3"/>
        <v>0</v>
      </c>
      <c r="H57" s="306"/>
      <c r="I57" s="128"/>
      <c r="K57" s="128"/>
      <c r="L57" s="128"/>
      <c r="M57" s="128"/>
      <c r="N57" s="128"/>
      <c r="O57" s="128"/>
      <c r="P57" s="128"/>
    </row>
    <row r="58" spans="1:16" s="127" customFormat="1">
      <c r="A58" s="158" t="s">
        <v>72</v>
      </c>
      <c r="B58" s="143">
        <v>2026</v>
      </c>
      <c r="C58" s="302">
        <f>'2023'!E58</f>
        <v>0</v>
      </c>
      <c r="D58" s="302">
        <f>F58+'2 кв'!D58</f>
        <v>0</v>
      </c>
      <c r="E58" s="205">
        <f>план!I63</f>
        <v>0</v>
      </c>
      <c r="F58" s="205"/>
      <c r="G58" s="205">
        <f t="shared" si="3"/>
        <v>0</v>
      </c>
      <c r="H58" s="306"/>
      <c r="I58" s="128"/>
      <c r="K58" s="128"/>
      <c r="L58" s="128"/>
      <c r="M58" s="128"/>
      <c r="N58" s="128"/>
      <c r="O58" s="128"/>
      <c r="P58" s="128"/>
    </row>
    <row r="59" spans="1:16" s="127" customFormat="1">
      <c r="A59" s="158" t="s">
        <v>73</v>
      </c>
      <c r="B59" s="143">
        <v>2027</v>
      </c>
      <c r="C59" s="193">
        <f>SUM(C60:C64)</f>
        <v>510.42999999999995</v>
      </c>
      <c r="D59" s="193">
        <f>SUM(D60:D64)</f>
        <v>717.48</v>
      </c>
      <c r="E59" s="205">
        <f>план!I64</f>
        <v>268.00150520000005</v>
      </c>
      <c r="F59" s="193">
        <f>F60+F61+F62+F63+F64+F65</f>
        <v>263.58</v>
      </c>
      <c r="G59" s="205">
        <f t="shared" si="3"/>
        <v>-4.4215052000000696</v>
      </c>
      <c r="H59" s="306">
        <f>(F59/E59)*100</f>
        <v>98.350193892866216</v>
      </c>
      <c r="I59" s="128"/>
      <c r="K59" s="128"/>
      <c r="L59" s="128"/>
      <c r="M59" s="128"/>
      <c r="N59" s="128"/>
      <c r="O59" s="128"/>
      <c r="P59" s="128"/>
    </row>
    <row r="60" spans="1:16" s="127" customFormat="1">
      <c r="A60" s="158" t="s">
        <v>74</v>
      </c>
      <c r="B60" s="143">
        <v>2028</v>
      </c>
      <c r="C60" s="302">
        <f>'2023'!E60</f>
        <v>174.2</v>
      </c>
      <c r="D60" s="302">
        <f>F60+'2 кв'!D60</f>
        <v>206.6</v>
      </c>
      <c r="E60" s="205">
        <f>план!I65</f>
        <v>0</v>
      </c>
      <c r="F60" s="193"/>
      <c r="G60" s="193">
        <f t="shared" si="3"/>
        <v>0</v>
      </c>
      <c r="H60" s="306" t="e">
        <f>(F60/E60)*100</f>
        <v>#DIV/0!</v>
      </c>
      <c r="I60" s="128"/>
      <c r="K60" s="128"/>
      <c r="L60" s="128"/>
      <c r="M60" s="128"/>
      <c r="N60" s="128"/>
      <c r="O60" s="128"/>
      <c r="P60" s="128"/>
    </row>
    <row r="61" spans="1:16" s="127" customFormat="1">
      <c r="A61" s="158" t="s">
        <v>75</v>
      </c>
      <c r="B61" s="143">
        <v>2029</v>
      </c>
      <c r="C61" s="302">
        <f>'2023'!E61</f>
        <v>28.63</v>
      </c>
      <c r="D61" s="302">
        <f>F61+'2 кв'!D61</f>
        <v>32.299999999999997</v>
      </c>
      <c r="E61" s="205">
        <f>план!I66</f>
        <v>18.141451199999995</v>
      </c>
      <c r="F61" s="193">
        <v>18.5</v>
      </c>
      <c r="G61" s="193">
        <f t="shared" si="3"/>
        <v>0.35854880000000477</v>
      </c>
      <c r="H61" s="306">
        <f>(F61/E61)*100</f>
        <v>101.97640638583536</v>
      </c>
      <c r="I61" s="128"/>
      <c r="K61" s="128"/>
      <c r="L61" s="128"/>
      <c r="M61" s="128"/>
      <c r="N61" s="128"/>
      <c r="O61" s="128"/>
      <c r="P61" s="128"/>
    </row>
    <row r="62" spans="1:16" s="127" customFormat="1">
      <c r="A62" s="158" t="s">
        <v>76</v>
      </c>
      <c r="B62" s="143">
        <v>2030</v>
      </c>
      <c r="C62" s="302">
        <f>'2023'!E62</f>
        <v>301.2</v>
      </c>
      <c r="D62" s="302">
        <f>F62+'2 кв'!D62</f>
        <v>471.6</v>
      </c>
      <c r="E62" s="205">
        <f>план!I67</f>
        <v>245.75665400000003</v>
      </c>
      <c r="F62" s="193">
        <v>241.9</v>
      </c>
      <c r="G62" s="193">
        <f t="shared" si="3"/>
        <v>-3.8566540000000202</v>
      </c>
      <c r="H62" s="306">
        <f>(F62/E62)*100</f>
        <v>98.430702104204258</v>
      </c>
      <c r="I62" s="128"/>
      <c r="K62" s="128"/>
      <c r="L62" s="128"/>
      <c r="M62" s="128"/>
      <c r="N62" s="128"/>
      <c r="O62" s="128"/>
      <c r="P62" s="128"/>
    </row>
    <row r="63" spans="1:16" s="127" customFormat="1">
      <c r="A63" s="158" t="s">
        <v>77</v>
      </c>
      <c r="B63" s="143">
        <v>2031</v>
      </c>
      <c r="C63" s="302">
        <f>'2023'!E63</f>
        <v>0</v>
      </c>
      <c r="D63" s="302">
        <f>F63+'2 кв'!D63</f>
        <v>0</v>
      </c>
      <c r="E63" s="205">
        <f>план!I68</f>
        <v>0</v>
      </c>
      <c r="F63" s="193"/>
      <c r="G63" s="193">
        <f t="shared" si="3"/>
        <v>0</v>
      </c>
      <c r="H63" s="306"/>
      <c r="I63" s="128"/>
      <c r="K63" s="128"/>
      <c r="L63" s="128"/>
      <c r="M63" s="128"/>
      <c r="N63" s="128"/>
      <c r="O63" s="128"/>
      <c r="P63" s="128"/>
    </row>
    <row r="64" spans="1:16" s="127" customFormat="1" ht="15" customHeight="1">
      <c r="A64" s="158" t="s">
        <v>78</v>
      </c>
      <c r="B64" s="143">
        <v>2032</v>
      </c>
      <c r="C64" s="302">
        <f>'2023'!E64</f>
        <v>6.4</v>
      </c>
      <c r="D64" s="302">
        <f>F64+'2 кв'!D64</f>
        <v>6.98</v>
      </c>
      <c r="E64" s="205">
        <f>план!I69</f>
        <v>4.1033999999999997</v>
      </c>
      <c r="F64" s="193">
        <v>3.18</v>
      </c>
      <c r="G64" s="193">
        <f t="shared" si="3"/>
        <v>-0.92339999999999955</v>
      </c>
      <c r="H64" s="306">
        <f>(F64/E64)*100</f>
        <v>77.496710045328271</v>
      </c>
      <c r="I64" s="128"/>
      <c r="K64" s="128"/>
      <c r="L64" s="128"/>
      <c r="M64" s="128"/>
      <c r="N64" s="128"/>
      <c r="O64" s="128"/>
      <c r="P64" s="128"/>
    </row>
    <row r="65" spans="1:16" s="127" customFormat="1">
      <c r="A65" s="158" t="s">
        <v>79</v>
      </c>
      <c r="B65" s="143">
        <v>2033</v>
      </c>
      <c r="C65" s="302">
        <f>'2 кв'!C65+'2023'!E65</f>
        <v>0</v>
      </c>
      <c r="D65" s="302">
        <f>F65+'2 кв'!D65</f>
        <v>0</v>
      </c>
      <c r="E65" s="205">
        <f>план!I70</f>
        <v>0</v>
      </c>
      <c r="F65" s="193"/>
      <c r="G65" s="193">
        <f t="shared" si="3"/>
        <v>0</v>
      </c>
      <c r="H65" s="306"/>
      <c r="I65" s="128"/>
      <c r="K65" s="128"/>
      <c r="L65" s="128"/>
      <c r="M65" s="128"/>
      <c r="N65" s="128"/>
      <c r="O65" s="128"/>
      <c r="P65" s="128"/>
    </row>
    <row r="66" spans="1:16" s="127" customFormat="1" ht="34.5" customHeight="1">
      <c r="A66" s="158" t="s">
        <v>80</v>
      </c>
      <c r="B66" s="143">
        <v>2030</v>
      </c>
      <c r="C66" s="302">
        <f>'2 кв'!C66+'2023'!E66</f>
        <v>0</v>
      </c>
      <c r="D66" s="302">
        <f>F66+'2 кв'!D66</f>
        <v>0</v>
      </c>
      <c r="E66" s="205">
        <f>план!I71</f>
        <v>0</v>
      </c>
      <c r="F66" s="193"/>
      <c r="G66" s="193">
        <f t="shared" si="3"/>
        <v>0</v>
      </c>
      <c r="H66" s="306"/>
      <c r="I66" s="128"/>
      <c r="K66" s="128"/>
      <c r="L66" s="128"/>
      <c r="M66" s="128"/>
      <c r="N66" s="128"/>
      <c r="O66" s="128"/>
      <c r="P66" s="128"/>
    </row>
    <row r="67" spans="1:16" s="127" customFormat="1">
      <c r="A67" s="158" t="s">
        <v>81</v>
      </c>
      <c r="B67" s="143">
        <v>2040</v>
      </c>
      <c r="C67" s="302">
        <f>'2 кв'!C67+'2023'!E67</f>
        <v>0</v>
      </c>
      <c r="D67" s="302">
        <f>F67+'2 кв'!D67</f>
        <v>0</v>
      </c>
      <c r="E67" s="205">
        <f>план!I72</f>
        <v>0</v>
      </c>
      <c r="F67" s="193"/>
      <c r="G67" s="193">
        <f t="shared" si="3"/>
        <v>0</v>
      </c>
      <c r="H67" s="306"/>
      <c r="I67" s="128"/>
      <c r="K67" s="128"/>
      <c r="L67" s="128"/>
      <c r="M67" s="128"/>
      <c r="N67" s="128"/>
      <c r="O67" s="128"/>
      <c r="P67" s="128"/>
    </row>
    <row r="68" spans="1:16" s="127" customFormat="1">
      <c r="A68" s="158" t="s">
        <v>82</v>
      </c>
      <c r="B68" s="143">
        <v>2050</v>
      </c>
      <c r="C68" s="193">
        <f t="shared" ref="C68:H68" si="4">C69+C70+C71</f>
        <v>79.7</v>
      </c>
      <c r="D68" s="193">
        <f t="shared" si="4"/>
        <v>80.199999999999989</v>
      </c>
      <c r="E68" s="205">
        <f>план!I73</f>
        <v>27</v>
      </c>
      <c r="F68" s="193">
        <f t="shared" si="4"/>
        <v>26.4</v>
      </c>
      <c r="G68" s="193">
        <f t="shared" si="4"/>
        <v>-0.60000000000000142</v>
      </c>
      <c r="H68" s="193">
        <f t="shared" si="4"/>
        <v>97.777777777777771</v>
      </c>
      <c r="I68" s="128"/>
      <c r="K68" s="128"/>
      <c r="L68" s="128"/>
      <c r="M68" s="128"/>
      <c r="N68" s="128"/>
      <c r="O68" s="128"/>
      <c r="P68" s="128"/>
    </row>
    <row r="69" spans="1:16" s="127" customFormat="1">
      <c r="A69" s="158" t="s">
        <v>83</v>
      </c>
      <c r="B69" s="143">
        <v>2051</v>
      </c>
      <c r="C69" s="302">
        <f>'2023'!E69</f>
        <v>79.7</v>
      </c>
      <c r="D69" s="302">
        <f>F69+'2 кв'!D69</f>
        <v>80.199999999999989</v>
      </c>
      <c r="E69" s="205">
        <f>план!I74</f>
        <v>27</v>
      </c>
      <c r="F69" s="193">
        <v>26.4</v>
      </c>
      <c r="G69" s="193">
        <f t="shared" si="3"/>
        <v>-0.60000000000000142</v>
      </c>
      <c r="H69" s="306">
        <f>(F69/E69)*100</f>
        <v>97.777777777777771</v>
      </c>
      <c r="I69" s="128"/>
      <c r="K69" s="128"/>
      <c r="L69" s="128"/>
      <c r="M69" s="128"/>
      <c r="N69" s="128"/>
      <c r="O69" s="128"/>
      <c r="P69" s="128"/>
    </row>
    <row r="70" spans="1:16" s="127" customFormat="1">
      <c r="A70" s="158" t="s">
        <v>84</v>
      </c>
      <c r="B70" s="143">
        <v>2052</v>
      </c>
      <c r="C70" s="302">
        <f>'2023'!E70</f>
        <v>0</v>
      </c>
      <c r="D70" s="302">
        <f>F70+'2 кв'!D70</f>
        <v>0</v>
      </c>
      <c r="E70" s="205">
        <f>план!I75</f>
        <v>0</v>
      </c>
      <c r="F70" s="193"/>
      <c r="G70" s="193">
        <f t="shared" si="3"/>
        <v>0</v>
      </c>
      <c r="H70" s="306"/>
      <c r="I70" s="128"/>
      <c r="K70" s="128"/>
      <c r="L70" s="128"/>
      <c r="M70" s="128"/>
      <c r="N70" s="128"/>
      <c r="O70" s="128"/>
      <c r="P70" s="128"/>
    </row>
    <row r="71" spans="1:16" s="127" customFormat="1">
      <c r="A71" s="158" t="s">
        <v>255</v>
      </c>
      <c r="B71" s="143">
        <v>2053</v>
      </c>
      <c r="C71" s="302">
        <f>'2023'!E71</f>
        <v>0</v>
      </c>
      <c r="D71" s="302">
        <f>F71+'2 кв'!D71</f>
        <v>0</v>
      </c>
      <c r="E71" s="205">
        <f>план!I76</f>
        <v>0</v>
      </c>
      <c r="F71" s="193"/>
      <c r="G71" s="193">
        <f t="shared" si="3"/>
        <v>0</v>
      </c>
      <c r="H71" s="306"/>
      <c r="I71" s="128"/>
      <c r="K71" s="128"/>
      <c r="L71" s="128"/>
      <c r="M71" s="128"/>
      <c r="N71" s="128"/>
      <c r="O71" s="128"/>
      <c r="P71" s="128"/>
    </row>
    <row r="72" spans="1:16" s="127" customFormat="1">
      <c r="A72" s="158" t="s">
        <v>86</v>
      </c>
      <c r="B72" s="143">
        <v>2060</v>
      </c>
      <c r="C72" s="302">
        <f>'2023'!E72</f>
        <v>327.3</v>
      </c>
      <c r="D72" s="302">
        <f>F72+'2 кв'!D72</f>
        <v>245.1</v>
      </c>
      <c r="E72" s="205">
        <f>план!I77</f>
        <v>84.6</v>
      </c>
      <c r="F72" s="193">
        <v>82.4</v>
      </c>
      <c r="G72" s="193">
        <f t="shared" si="3"/>
        <v>-2.1999999999999886</v>
      </c>
      <c r="H72" s="306">
        <f>(F72/E72)*100</f>
        <v>97.399527186761247</v>
      </c>
      <c r="I72" s="128"/>
      <c r="K72" s="128"/>
      <c r="L72" s="128"/>
      <c r="M72" s="128"/>
      <c r="N72" s="128"/>
      <c r="O72" s="128"/>
      <c r="P72" s="128"/>
    </row>
    <row r="73" spans="1:16" s="127" customFormat="1">
      <c r="A73" s="158" t="s">
        <v>256</v>
      </c>
      <c r="B73" s="143">
        <v>2070</v>
      </c>
      <c r="C73" s="302">
        <f>'2 кв'!C73+'2023'!E73</f>
        <v>0</v>
      </c>
      <c r="D73" s="302">
        <f>F73+'2 кв'!D73</f>
        <v>0</v>
      </c>
      <c r="E73" s="205">
        <f>план!I78</f>
        <v>0</v>
      </c>
      <c r="F73" s="193"/>
      <c r="G73" s="193">
        <f t="shared" si="3"/>
        <v>0</v>
      </c>
      <c r="H73" s="306"/>
      <c r="I73" s="128"/>
      <c r="K73" s="128"/>
      <c r="L73" s="128"/>
      <c r="M73" s="128"/>
      <c r="N73" s="128"/>
      <c r="O73" s="128"/>
      <c r="P73" s="128"/>
    </row>
    <row r="74" spans="1:16" s="127" customFormat="1">
      <c r="A74" s="157" t="s">
        <v>88</v>
      </c>
      <c r="B74" s="143">
        <v>2100</v>
      </c>
      <c r="C74" s="194">
        <f>C75+C76+C79+C82+C86+C87</f>
        <v>0</v>
      </c>
      <c r="D74" s="194">
        <f>D75+D76+D79+D82+D86+D87</f>
        <v>0</v>
      </c>
      <c r="E74" s="205">
        <f>план!I79</f>
        <v>232.5</v>
      </c>
      <c r="F74" s="194">
        <f>F75+F76+F79+F82+F86+F87</f>
        <v>0</v>
      </c>
      <c r="G74" s="193">
        <f t="shared" si="3"/>
        <v>-232.5</v>
      </c>
      <c r="H74" s="308"/>
      <c r="I74" s="128"/>
      <c r="K74" s="128"/>
      <c r="L74" s="128"/>
      <c r="M74" s="128"/>
      <c r="N74" s="128"/>
      <c r="O74" s="128"/>
      <c r="P74" s="128"/>
    </row>
    <row r="75" spans="1:16" s="127" customFormat="1" ht="21.75" customHeight="1">
      <c r="A75" s="158" t="s">
        <v>89</v>
      </c>
      <c r="B75" s="143">
        <v>2110</v>
      </c>
      <c r="C75" s="302">
        <f>'2 кв'!C75+'2023'!E75</f>
        <v>0</v>
      </c>
      <c r="D75" s="302">
        <f>F75+'2 кв'!D75</f>
        <v>0</v>
      </c>
      <c r="E75" s="205">
        <f>план!I80</f>
        <v>232.5</v>
      </c>
      <c r="F75" s="194"/>
      <c r="G75" s="193">
        <f t="shared" si="3"/>
        <v>-232.5</v>
      </c>
      <c r="H75" s="308"/>
      <c r="I75" s="128"/>
      <c r="K75" s="128"/>
      <c r="L75" s="128"/>
      <c r="M75" s="128"/>
      <c r="N75" s="128"/>
      <c r="O75" s="128"/>
      <c r="P75" s="128"/>
    </row>
    <row r="76" spans="1:16" s="127" customFormat="1">
      <c r="A76" s="158" t="s">
        <v>90</v>
      </c>
      <c r="B76" s="143">
        <v>2120</v>
      </c>
      <c r="C76" s="302">
        <f>'2 кв'!C76+'2023'!E76</f>
        <v>0</v>
      </c>
      <c r="D76" s="302">
        <f>F76+'2 кв'!D76</f>
        <v>0</v>
      </c>
      <c r="E76" s="205">
        <f>план!I81</f>
        <v>0</v>
      </c>
      <c r="F76" s="194">
        <f>F77+F78</f>
        <v>0</v>
      </c>
      <c r="G76" s="193">
        <f t="shared" si="3"/>
        <v>0</v>
      </c>
      <c r="H76" s="308"/>
      <c r="I76" s="128"/>
      <c r="K76" s="128"/>
      <c r="L76" s="128"/>
      <c r="M76" s="128"/>
      <c r="N76" s="128"/>
      <c r="O76" s="128"/>
      <c r="P76" s="128"/>
    </row>
    <row r="77" spans="1:16" s="127" customFormat="1">
      <c r="A77" s="158" t="s">
        <v>91</v>
      </c>
      <c r="B77" s="143">
        <v>2121</v>
      </c>
      <c r="C77" s="302">
        <f>'2 кв'!C77+'2023'!E77</f>
        <v>0</v>
      </c>
      <c r="D77" s="302">
        <f>F77+'2 кв'!D77</f>
        <v>0</v>
      </c>
      <c r="E77" s="205">
        <f>план!I82</f>
        <v>0</v>
      </c>
      <c r="F77" s="193"/>
      <c r="G77" s="193">
        <f t="shared" si="3"/>
        <v>0</v>
      </c>
      <c r="H77" s="306"/>
      <c r="I77" s="128"/>
      <c r="K77" s="128"/>
      <c r="L77" s="128"/>
      <c r="M77" s="128"/>
      <c r="N77" s="128"/>
      <c r="O77" s="128"/>
      <c r="P77" s="128"/>
    </row>
    <row r="78" spans="1:16" s="127" customFormat="1">
      <c r="A78" s="158" t="s">
        <v>92</v>
      </c>
      <c r="B78" s="143">
        <v>2122</v>
      </c>
      <c r="C78" s="302">
        <f>'2 кв'!C78+'2023'!E78</f>
        <v>0</v>
      </c>
      <c r="D78" s="302">
        <f>F78+'2 кв'!D78</f>
        <v>0</v>
      </c>
      <c r="E78" s="205">
        <f>план!I83</f>
        <v>0</v>
      </c>
      <c r="F78" s="193"/>
      <c r="G78" s="193">
        <f t="shared" si="3"/>
        <v>0</v>
      </c>
      <c r="H78" s="306"/>
      <c r="I78" s="128"/>
      <c r="K78" s="128"/>
      <c r="L78" s="128"/>
      <c r="M78" s="128"/>
      <c r="N78" s="128"/>
      <c r="O78" s="128"/>
      <c r="P78" s="128"/>
    </row>
    <row r="79" spans="1:16" s="127" customFormat="1">
      <c r="A79" s="158" t="s">
        <v>93</v>
      </c>
      <c r="B79" s="143">
        <v>2130</v>
      </c>
      <c r="C79" s="302">
        <f>'2 кв'!C79+'2023'!E79</f>
        <v>0</v>
      </c>
      <c r="D79" s="302">
        <f>F79+'2 кв'!D79</f>
        <v>0</v>
      </c>
      <c r="E79" s="205">
        <f>план!I84</f>
        <v>0</v>
      </c>
      <c r="F79" s="193">
        <f>F80+F81</f>
        <v>0</v>
      </c>
      <c r="G79" s="193">
        <f t="shared" si="3"/>
        <v>0</v>
      </c>
      <c r="H79" s="306"/>
      <c r="I79" s="128"/>
      <c r="K79" s="128"/>
      <c r="L79" s="128"/>
      <c r="M79" s="128"/>
      <c r="N79" s="128"/>
      <c r="O79" s="128"/>
      <c r="P79" s="128"/>
    </row>
    <row r="80" spans="1:16" s="127" customFormat="1">
      <c r="A80" s="158" t="s">
        <v>94</v>
      </c>
      <c r="B80" s="143">
        <v>2131</v>
      </c>
      <c r="C80" s="302">
        <f>'2 кв'!C80+'2023'!E80</f>
        <v>0</v>
      </c>
      <c r="D80" s="302">
        <f>F80+'2 кв'!D80</f>
        <v>0</v>
      </c>
      <c r="E80" s="205">
        <f>план!I85</f>
        <v>0</v>
      </c>
      <c r="F80" s="193"/>
      <c r="G80" s="193">
        <f t="shared" si="3"/>
        <v>0</v>
      </c>
      <c r="H80" s="306"/>
      <c r="I80" s="128"/>
      <c r="K80" s="128"/>
      <c r="L80" s="128"/>
      <c r="M80" s="128"/>
      <c r="N80" s="128"/>
      <c r="O80" s="128"/>
      <c r="P80" s="128"/>
    </row>
    <row r="81" spans="1:18" s="127" customFormat="1">
      <c r="A81" s="158" t="s">
        <v>95</v>
      </c>
      <c r="B81" s="143">
        <v>2132</v>
      </c>
      <c r="C81" s="302">
        <f>'2 кв'!C81+'2023'!E81</f>
        <v>0</v>
      </c>
      <c r="D81" s="302">
        <f>F81+'2 кв'!D81</f>
        <v>0</v>
      </c>
      <c r="E81" s="205">
        <f>план!I86</f>
        <v>0</v>
      </c>
      <c r="F81" s="193"/>
      <c r="G81" s="193">
        <f t="shared" si="3"/>
        <v>0</v>
      </c>
      <c r="H81" s="306"/>
      <c r="I81" s="128"/>
      <c r="K81" s="128"/>
      <c r="L81" s="128"/>
      <c r="M81" s="128"/>
      <c r="N81" s="128"/>
      <c r="O81" s="128"/>
      <c r="P81" s="128"/>
    </row>
    <row r="82" spans="1:18" s="127" customFormat="1">
      <c r="A82" s="158" t="s">
        <v>96</v>
      </c>
      <c r="B82" s="143">
        <v>2140</v>
      </c>
      <c r="C82" s="302">
        <f>'2 кв'!C82+'2023'!E82</f>
        <v>0</v>
      </c>
      <c r="D82" s="302">
        <f>F82+'2 кв'!D82</f>
        <v>0</v>
      </c>
      <c r="E82" s="205">
        <f>план!I87</f>
        <v>0</v>
      </c>
      <c r="F82" s="193">
        <f>F83+F84+F85</f>
        <v>0</v>
      </c>
      <c r="G82" s="193">
        <f t="shared" si="3"/>
        <v>0</v>
      </c>
      <c r="H82" s="306"/>
      <c r="I82" s="128"/>
      <c r="K82" s="128"/>
      <c r="L82" s="128"/>
      <c r="M82" s="128"/>
      <c r="N82" s="128"/>
      <c r="O82" s="128"/>
      <c r="P82" s="128"/>
    </row>
    <row r="83" spans="1:18" s="127" customFormat="1">
      <c r="A83" s="158" t="s">
        <v>97</v>
      </c>
      <c r="B83" s="143">
        <v>2141</v>
      </c>
      <c r="C83" s="302">
        <f>'2 кв'!C83+'2023'!E83</f>
        <v>0</v>
      </c>
      <c r="D83" s="302">
        <f>F83+'2 кв'!D83</f>
        <v>0</v>
      </c>
      <c r="E83" s="205">
        <f>план!I88</f>
        <v>0</v>
      </c>
      <c r="F83" s="193"/>
      <c r="G83" s="193">
        <f t="shared" si="3"/>
        <v>0</v>
      </c>
      <c r="H83" s="306"/>
      <c r="I83" s="128"/>
      <c r="K83" s="128"/>
      <c r="L83" s="128"/>
      <c r="M83" s="128"/>
      <c r="N83" s="128"/>
      <c r="O83" s="128"/>
      <c r="P83" s="128"/>
    </row>
    <row r="84" spans="1:18" s="127" customFormat="1">
      <c r="A84" s="158" t="s">
        <v>98</v>
      </c>
      <c r="B84" s="143">
        <v>2142</v>
      </c>
      <c r="C84" s="302">
        <f>'2 кв'!C84+'2023'!E84</f>
        <v>0</v>
      </c>
      <c r="D84" s="302">
        <f>F84+'2 кв'!D84</f>
        <v>0</v>
      </c>
      <c r="E84" s="205">
        <f>план!I89</f>
        <v>0</v>
      </c>
      <c r="F84" s="193"/>
      <c r="G84" s="193">
        <f t="shared" si="3"/>
        <v>0</v>
      </c>
      <c r="H84" s="306"/>
      <c r="I84" s="128"/>
      <c r="K84" s="128"/>
      <c r="L84" s="128"/>
      <c r="M84" s="128"/>
      <c r="N84" s="128"/>
      <c r="O84" s="128"/>
      <c r="P84" s="128"/>
    </row>
    <row r="85" spans="1:18" s="127" customFormat="1">
      <c r="A85" s="158" t="s">
        <v>99</v>
      </c>
      <c r="B85" s="143">
        <v>2143</v>
      </c>
      <c r="C85" s="302">
        <f>'2 кв'!C85+'2023'!E85</f>
        <v>0</v>
      </c>
      <c r="D85" s="302">
        <f>F85+'2 кв'!D85</f>
        <v>0</v>
      </c>
      <c r="E85" s="205">
        <f>план!I90</f>
        <v>0</v>
      </c>
      <c r="F85" s="194"/>
      <c r="G85" s="193">
        <f t="shared" si="3"/>
        <v>0</v>
      </c>
      <c r="H85" s="308"/>
      <c r="I85" s="128"/>
      <c r="K85" s="128"/>
      <c r="L85" s="128"/>
      <c r="M85" s="128"/>
      <c r="N85" s="128"/>
      <c r="O85" s="128"/>
      <c r="P85" s="128"/>
    </row>
    <row r="86" spans="1:18" s="127" customFormat="1">
      <c r="A86" s="158" t="s">
        <v>100</v>
      </c>
      <c r="B86" s="143">
        <v>2150</v>
      </c>
      <c r="C86" s="302">
        <f>'2 кв'!C86+'2023'!E86</f>
        <v>0</v>
      </c>
      <c r="D86" s="302">
        <f>F86+'2 кв'!D86</f>
        <v>0</v>
      </c>
      <c r="E86" s="205">
        <f>план!I91</f>
        <v>0</v>
      </c>
      <c r="F86" s="193"/>
      <c r="G86" s="193">
        <f t="shared" si="3"/>
        <v>0</v>
      </c>
      <c r="H86" s="306"/>
      <c r="I86" s="128"/>
      <c r="K86" s="128"/>
      <c r="L86" s="128"/>
      <c r="M86" s="128"/>
      <c r="N86" s="128"/>
      <c r="O86" s="128"/>
      <c r="P86" s="128"/>
    </row>
    <row r="87" spans="1:18" s="127" customFormat="1">
      <c r="A87" s="158" t="s">
        <v>101</v>
      </c>
      <c r="B87" s="143">
        <v>2160</v>
      </c>
      <c r="C87" s="302">
        <f>'2 кв'!C87+'2023'!E87</f>
        <v>0</v>
      </c>
      <c r="D87" s="302">
        <f>F87+'2 кв'!D87</f>
        <v>0</v>
      </c>
      <c r="E87" s="193"/>
      <c r="F87" s="193"/>
      <c r="G87" s="193">
        <f t="shared" si="3"/>
        <v>0</v>
      </c>
      <c r="H87" s="306"/>
      <c r="I87" s="128"/>
      <c r="K87" s="128"/>
      <c r="L87" s="128"/>
      <c r="M87" s="128"/>
      <c r="N87" s="128"/>
      <c r="O87" s="128"/>
      <c r="P87" s="128"/>
    </row>
    <row r="88" spans="1:18" s="127" customFormat="1">
      <c r="A88" s="158" t="s">
        <v>102</v>
      </c>
      <c r="B88" s="143">
        <v>2170</v>
      </c>
      <c r="C88" s="302">
        <f>'2 кв'!C88+'2023'!E88</f>
        <v>0</v>
      </c>
      <c r="D88" s="302">
        <f>F88+'2 кв'!D88</f>
        <v>0</v>
      </c>
      <c r="E88" s="193"/>
      <c r="F88" s="193"/>
      <c r="G88" s="193">
        <f t="shared" si="3"/>
        <v>0</v>
      </c>
      <c r="H88" s="306"/>
      <c r="I88" s="128"/>
      <c r="K88" s="128"/>
      <c r="L88" s="128"/>
      <c r="M88" s="128"/>
      <c r="N88" s="128"/>
      <c r="O88" s="128"/>
      <c r="P88" s="128"/>
    </row>
    <row r="89" spans="1:18" s="127" customFormat="1">
      <c r="A89" s="158"/>
      <c r="B89" s="143">
        <v>2171</v>
      </c>
      <c r="C89" s="176">
        <f>'2023'!C89</f>
        <v>0</v>
      </c>
      <c r="D89" s="170"/>
      <c r="E89" s="170"/>
      <c r="F89" s="170"/>
      <c r="G89" s="170">
        <f>F89-E89</f>
        <v>0</v>
      </c>
      <c r="H89" s="309"/>
      <c r="I89" s="128"/>
      <c r="K89" s="128"/>
      <c r="L89" s="128"/>
      <c r="M89" s="128"/>
      <c r="N89" s="128"/>
      <c r="O89" s="128"/>
      <c r="P89" s="128"/>
    </row>
    <row r="90" spans="1:18" s="127" customFormat="1">
      <c r="A90" s="146" t="s">
        <v>103</v>
      </c>
      <c r="B90" s="143">
        <v>4000</v>
      </c>
      <c r="C90" s="299">
        <f t="shared" ref="C90:H90" si="5">C32</f>
        <v>18982.600000000002</v>
      </c>
      <c r="D90" s="299">
        <f t="shared" si="5"/>
        <v>17165.398000000001</v>
      </c>
      <c r="E90" s="299">
        <f t="shared" si="5"/>
        <v>7841.9948052</v>
      </c>
      <c r="F90" s="299">
        <f t="shared" si="5"/>
        <v>5452.7980000000007</v>
      </c>
      <c r="G90" s="299">
        <f t="shared" si="5"/>
        <v>-2389.1968051999993</v>
      </c>
      <c r="H90" s="299">
        <f t="shared" si="5"/>
        <v>69.533302883397326</v>
      </c>
      <c r="I90" s="128"/>
      <c r="K90" s="128"/>
      <c r="L90" s="128"/>
      <c r="M90" s="128"/>
      <c r="N90" s="128"/>
      <c r="O90" s="128"/>
      <c r="P90" s="128"/>
    </row>
    <row r="91" spans="1:18" s="127" customFormat="1">
      <c r="A91" s="146" t="s">
        <v>104</v>
      </c>
      <c r="B91" s="143">
        <v>5000</v>
      </c>
      <c r="C91" s="299">
        <f t="shared" ref="C91:H91" si="6">C48</f>
        <v>16557.520543400002</v>
      </c>
      <c r="D91" s="299">
        <f t="shared" si="6"/>
        <v>16814.030000000002</v>
      </c>
      <c r="E91" s="299">
        <f t="shared" si="6"/>
        <v>7841.9948052</v>
      </c>
      <c r="F91" s="299">
        <f t="shared" si="6"/>
        <v>5748.76</v>
      </c>
      <c r="G91" s="299">
        <f t="shared" si="6"/>
        <v>-2093.2348051999998</v>
      </c>
      <c r="H91" s="299">
        <f t="shared" si="6"/>
        <v>73.307368122560064</v>
      </c>
      <c r="I91" s="272"/>
      <c r="K91" s="128"/>
      <c r="L91" s="128"/>
      <c r="M91" s="128"/>
      <c r="N91" s="128"/>
      <c r="O91" s="128"/>
      <c r="P91" s="128"/>
    </row>
    <row r="92" spans="1:18" s="127" customFormat="1">
      <c r="A92" s="162" t="s">
        <v>105</v>
      </c>
      <c r="B92" s="143">
        <v>6000</v>
      </c>
      <c r="C92" s="301">
        <f>C90-C91</f>
        <v>2425.0794566000004</v>
      </c>
      <c r="D92" s="299">
        <f>D90-D91</f>
        <v>351.36799999999857</v>
      </c>
      <c r="E92" s="301">
        <f>E90-E91</f>
        <v>0</v>
      </c>
      <c r="F92" s="299">
        <f>F90-F91</f>
        <v>-295.96199999999953</v>
      </c>
      <c r="G92" s="299">
        <f>F92-E92</f>
        <v>-295.96199999999953</v>
      </c>
      <c r="H92" s="300"/>
      <c r="I92" s="128"/>
      <c r="K92" s="128"/>
      <c r="L92" s="128"/>
      <c r="M92" s="128"/>
      <c r="N92" s="128"/>
      <c r="O92" s="128"/>
      <c r="P92" s="128"/>
      <c r="Q92" s="128" t="e">
        <f>I92-#REF!</f>
        <v>#REF!</v>
      </c>
      <c r="R92" s="128" t="e">
        <f>J92-#REF!</f>
        <v>#REF!</v>
      </c>
    </row>
    <row r="93" spans="1:18" s="127" customFormat="1">
      <c r="A93" s="418" t="s">
        <v>106</v>
      </c>
      <c r="B93" s="419"/>
      <c r="C93" s="419"/>
      <c r="D93" s="419"/>
      <c r="E93" s="419"/>
      <c r="F93" s="419"/>
      <c r="G93" s="419"/>
      <c r="H93" s="420"/>
      <c r="K93" s="128"/>
      <c r="L93" s="128"/>
      <c r="M93" s="128"/>
      <c r="N93" s="128"/>
      <c r="O93" s="128"/>
      <c r="P93" s="128"/>
    </row>
    <row r="94" spans="1:18" s="127" customFormat="1" ht="31.5">
      <c r="A94" s="163" t="s">
        <v>107</v>
      </c>
      <c r="B94" s="143">
        <v>7100</v>
      </c>
      <c r="C94" s="301">
        <f>C95+C96+C97+C98</f>
        <v>19.2</v>
      </c>
      <c r="D94" s="301">
        <f>D95+D96+D97+D98</f>
        <v>18.13</v>
      </c>
      <c r="E94" s="301">
        <f>E95+E96+E97+E98</f>
        <v>7.5</v>
      </c>
      <c r="F94" s="301">
        <f>F95+F96+F97+F98</f>
        <v>0.33</v>
      </c>
      <c r="G94" s="301">
        <f t="shared" ref="G94:G107" si="7">F94-E94</f>
        <v>-7.17</v>
      </c>
      <c r="H94" s="300">
        <f t="shared" ref="H94:H107" si="8">(F94/E94)*100</f>
        <v>4.4000000000000004</v>
      </c>
      <c r="K94" s="128"/>
      <c r="L94" s="128"/>
      <c r="M94" s="128"/>
      <c r="N94" s="128"/>
      <c r="O94" s="128"/>
      <c r="P94" s="128"/>
    </row>
    <row r="95" spans="1:18" s="127" customFormat="1" ht="31.5">
      <c r="A95" s="164" t="s">
        <v>108</v>
      </c>
      <c r="B95" s="143">
        <v>7110</v>
      </c>
      <c r="C95" s="302">
        <f>'2023'!E95</f>
        <v>19.2</v>
      </c>
      <c r="D95" s="302">
        <f>F95+'2 кв'!D95</f>
        <v>18.13</v>
      </c>
      <c r="E95" s="205">
        <f>план!I100</f>
        <v>7.5</v>
      </c>
      <c r="F95" s="198">
        <v>0.33</v>
      </c>
      <c r="G95" s="194">
        <f t="shared" si="7"/>
        <v>-7.17</v>
      </c>
      <c r="H95" s="308">
        <f t="shared" si="8"/>
        <v>4.4000000000000004</v>
      </c>
      <c r="K95" s="128"/>
      <c r="L95" s="128"/>
      <c r="M95" s="128"/>
      <c r="N95" s="128"/>
      <c r="O95" s="128"/>
      <c r="P95" s="128"/>
    </row>
    <row r="96" spans="1:18" s="127" customFormat="1" ht="36" customHeight="1">
      <c r="A96" s="165" t="s">
        <v>109</v>
      </c>
      <c r="B96" s="144">
        <v>7120</v>
      </c>
      <c r="C96" s="302">
        <f>'2 кв'!C96+'2023'!E96</f>
        <v>0</v>
      </c>
      <c r="D96" s="302">
        <f>F96+'2 кв'!D96</f>
        <v>0</v>
      </c>
      <c r="E96" s="198"/>
      <c r="F96" s="198"/>
      <c r="G96" s="194">
        <f t="shared" si="7"/>
        <v>0</v>
      </c>
      <c r="H96" s="308"/>
      <c r="K96" s="128"/>
      <c r="L96" s="128"/>
      <c r="M96" s="128"/>
      <c r="N96" s="128"/>
      <c r="O96" s="128"/>
      <c r="P96" s="128"/>
    </row>
    <row r="97" spans="1:16" s="127" customFormat="1">
      <c r="A97" s="166" t="s">
        <v>110</v>
      </c>
      <c r="B97" s="144">
        <v>7130</v>
      </c>
      <c r="C97" s="302">
        <f>'2 кв'!C97+'2023'!E97</f>
        <v>0</v>
      </c>
      <c r="D97" s="302">
        <f>F97+'2 кв'!D97</f>
        <v>0</v>
      </c>
      <c r="E97" s="198"/>
      <c r="F97" s="198"/>
      <c r="G97" s="194">
        <f t="shared" si="7"/>
        <v>0</v>
      </c>
      <c r="H97" s="308"/>
      <c r="K97" s="128"/>
      <c r="L97" s="128"/>
      <c r="M97" s="128"/>
      <c r="N97" s="128"/>
      <c r="O97" s="128"/>
      <c r="P97" s="128"/>
    </row>
    <row r="98" spans="1:16" s="127" customFormat="1">
      <c r="A98" s="166" t="s">
        <v>111</v>
      </c>
      <c r="B98" s="144">
        <v>7140</v>
      </c>
      <c r="C98" s="302">
        <f>'2 кв'!C98+'2023'!E98</f>
        <v>0</v>
      </c>
      <c r="D98" s="302">
        <f>F98+'2 кв'!D98</f>
        <v>0</v>
      </c>
      <c r="E98" s="198"/>
      <c r="F98" s="198"/>
      <c r="G98" s="194">
        <f t="shared" si="7"/>
        <v>0</v>
      </c>
      <c r="H98" s="308"/>
      <c r="K98" s="128"/>
      <c r="L98" s="128"/>
      <c r="M98" s="128"/>
      <c r="N98" s="128"/>
      <c r="O98" s="128"/>
      <c r="P98" s="128"/>
    </row>
    <row r="99" spans="1:16" s="127" customFormat="1" ht="31.5">
      <c r="A99" s="167" t="s">
        <v>112</v>
      </c>
      <c r="B99" s="144">
        <v>7200</v>
      </c>
      <c r="C99" s="194">
        <f>C100+C101</f>
        <v>2094.9</v>
      </c>
      <c r="D99" s="194">
        <f>D100+D101</f>
        <v>2089.6999999999998</v>
      </c>
      <c r="E99" s="194">
        <f>E100+E101</f>
        <v>921.37769999999989</v>
      </c>
      <c r="F99" s="194">
        <f>F100+F101</f>
        <v>716.5</v>
      </c>
      <c r="G99" s="194">
        <f>F99-E99</f>
        <v>-204.87769999999989</v>
      </c>
      <c r="H99" s="308">
        <f t="shared" si="8"/>
        <v>77.763983217740133</v>
      </c>
      <c r="K99" s="128"/>
      <c r="L99" s="128"/>
      <c r="M99" s="128"/>
      <c r="N99" s="128"/>
      <c r="O99" s="128"/>
      <c r="P99" s="128"/>
    </row>
    <row r="100" spans="1:16" s="127" customFormat="1">
      <c r="A100" s="164" t="s">
        <v>113</v>
      </c>
      <c r="B100" s="144">
        <v>7210</v>
      </c>
      <c r="C100" s="302">
        <f>'2023'!E100</f>
        <v>2094.9</v>
      </c>
      <c r="D100" s="302">
        <f>F100+'2 кв'!D100</f>
        <v>2089.6999999999998</v>
      </c>
      <c r="E100" s="205">
        <f>план!I105</f>
        <v>921.37769999999989</v>
      </c>
      <c r="F100" s="198">
        <v>716.5</v>
      </c>
      <c r="G100" s="194">
        <f t="shared" si="7"/>
        <v>-204.87769999999989</v>
      </c>
      <c r="H100" s="308">
        <f t="shared" si="8"/>
        <v>77.763983217740133</v>
      </c>
      <c r="I100" s="128"/>
      <c r="J100" s="128"/>
      <c r="K100" s="128"/>
      <c r="L100" s="128"/>
      <c r="M100" s="128"/>
      <c r="N100" s="128"/>
      <c r="O100" s="128"/>
      <c r="P100" s="128"/>
    </row>
    <row r="101" spans="1:16" s="127" customFormat="1">
      <c r="A101" s="165" t="s">
        <v>114</v>
      </c>
      <c r="B101" s="145">
        <v>7220</v>
      </c>
      <c r="C101" s="302">
        <f>'2 кв'!C101+'2023'!E101</f>
        <v>0</v>
      </c>
      <c r="D101" s="302">
        <f>F101+'2 кв'!D101</f>
        <v>0</v>
      </c>
      <c r="E101" s="198">
        <f>план!H106</f>
        <v>0</v>
      </c>
      <c r="F101" s="198"/>
      <c r="G101" s="194">
        <f t="shared" si="7"/>
        <v>0</v>
      </c>
      <c r="H101" s="308"/>
      <c r="K101" s="128"/>
      <c r="L101" s="128"/>
      <c r="M101" s="128"/>
      <c r="N101" s="128"/>
      <c r="O101" s="128"/>
      <c r="P101" s="128"/>
    </row>
    <row r="102" spans="1:16" s="127" customFormat="1" ht="31.5">
      <c r="A102" s="167" t="s">
        <v>115</v>
      </c>
      <c r="B102" s="144">
        <v>7300</v>
      </c>
      <c r="C102" s="310">
        <f>C103+C104+C105+C106</f>
        <v>2812.2015733999983</v>
      </c>
      <c r="D102" s="310">
        <f>D103+D104+D105+D106</f>
        <v>2786.0700000000006</v>
      </c>
      <c r="E102" s="310">
        <f>E103+E104+E105+E106</f>
        <v>1202.9097749999999</v>
      </c>
      <c r="F102" s="310">
        <f>F103+F104+F105+F106</f>
        <v>946.69999999999993</v>
      </c>
      <c r="G102" s="194">
        <f t="shared" si="7"/>
        <v>-256.20977499999992</v>
      </c>
      <c r="H102" s="308">
        <f t="shared" si="8"/>
        <v>78.700831905701335</v>
      </c>
      <c r="K102" s="128"/>
      <c r="L102" s="128"/>
      <c r="M102" s="128"/>
      <c r="N102" s="128"/>
      <c r="O102" s="128"/>
      <c r="P102" s="128"/>
    </row>
    <row r="103" spans="1:16" s="127" customFormat="1" ht="32.25" customHeight="1">
      <c r="A103" s="166" t="s">
        <v>116</v>
      </c>
      <c r="B103" s="144">
        <v>7310</v>
      </c>
      <c r="C103" s="302">
        <f>'2023'!E103</f>
        <v>2636.5015733999985</v>
      </c>
      <c r="D103" s="302">
        <f>F103+'2 кв'!D103</f>
        <v>2611.2700000000004</v>
      </c>
      <c r="E103" s="205">
        <f>план!I108</f>
        <v>1126.1282999999999</v>
      </c>
      <c r="F103" s="193">
        <v>886.8</v>
      </c>
      <c r="G103" s="198">
        <f t="shared" si="7"/>
        <v>-239.3282999999999</v>
      </c>
      <c r="H103" s="308">
        <f t="shared" si="8"/>
        <v>78.747687985463116</v>
      </c>
      <c r="I103" s="272"/>
      <c r="K103" s="128"/>
      <c r="L103" s="128"/>
      <c r="M103" s="128"/>
      <c r="N103" s="128"/>
      <c r="O103" s="128"/>
      <c r="P103" s="128"/>
    </row>
    <row r="104" spans="1:16" s="127" customFormat="1">
      <c r="A104" s="166" t="s">
        <v>117</v>
      </c>
      <c r="B104" s="144">
        <v>7320</v>
      </c>
      <c r="C104" s="302">
        <f>'2023'!E104</f>
        <v>175.7</v>
      </c>
      <c r="D104" s="302">
        <f>F104+'2 кв'!D104</f>
        <v>174.8</v>
      </c>
      <c r="E104" s="205">
        <f>план!I109</f>
        <v>76.781474999999986</v>
      </c>
      <c r="F104" s="193">
        <v>59.9</v>
      </c>
      <c r="G104" s="198">
        <f t="shared" si="7"/>
        <v>-16.881474999999988</v>
      </c>
      <c r="H104" s="308">
        <f t="shared" si="8"/>
        <v>78.013609402528417</v>
      </c>
      <c r="J104" s="128"/>
      <c r="K104" s="128"/>
      <c r="L104" s="128"/>
      <c r="M104" s="128"/>
      <c r="N104" s="128"/>
      <c r="O104" s="128"/>
      <c r="P104" s="128"/>
    </row>
    <row r="105" spans="1:16" s="127" customFormat="1" ht="26.25" customHeight="1">
      <c r="A105" s="166" t="s">
        <v>118</v>
      </c>
      <c r="B105" s="144">
        <v>7330</v>
      </c>
      <c r="C105" s="302">
        <f>'2 кв'!C105+'2023'!E105</f>
        <v>0</v>
      </c>
      <c r="D105" s="302">
        <f>F105+'2 кв'!D105</f>
        <v>0</v>
      </c>
      <c r="E105" s="193"/>
      <c r="F105" s="193"/>
      <c r="G105" s="194">
        <f t="shared" si="7"/>
        <v>0</v>
      </c>
      <c r="H105" s="308"/>
      <c r="K105" s="128"/>
      <c r="L105" s="128"/>
      <c r="M105" s="128"/>
      <c r="N105" s="128"/>
      <c r="O105" s="128"/>
      <c r="P105" s="128"/>
    </row>
    <row r="106" spans="1:16" s="127" customFormat="1" ht="15.75" customHeight="1">
      <c r="A106" s="166" t="s">
        <v>250</v>
      </c>
      <c r="B106" s="144">
        <v>7340</v>
      </c>
      <c r="C106" s="302">
        <f>'2 кв'!C106+'2023'!E106</f>
        <v>0</v>
      </c>
      <c r="D106" s="302">
        <f>F106+'2 кв'!D106</f>
        <v>0</v>
      </c>
      <c r="E106" s="193"/>
      <c r="F106" s="193"/>
      <c r="G106" s="194">
        <f t="shared" si="7"/>
        <v>0</v>
      </c>
      <c r="H106" s="308"/>
      <c r="J106" s="177"/>
      <c r="K106" s="128"/>
      <c r="L106" s="128"/>
      <c r="M106" s="128"/>
      <c r="N106" s="128"/>
      <c r="O106" s="128"/>
      <c r="P106" s="128"/>
    </row>
    <row r="107" spans="1:16" s="127" customFormat="1">
      <c r="A107" s="167" t="s">
        <v>119</v>
      </c>
      <c r="B107" s="144">
        <v>7000</v>
      </c>
      <c r="C107" s="310">
        <f>C102+C99+C94</f>
        <v>4926.3015733999982</v>
      </c>
      <c r="D107" s="310">
        <f>D102+D99+D94</f>
        <v>4893.9000000000005</v>
      </c>
      <c r="E107" s="310">
        <f>E102+E99+E94</f>
        <v>2131.7874749999996</v>
      </c>
      <c r="F107" s="310">
        <f>F102+F99+F94</f>
        <v>1663.5299999999997</v>
      </c>
      <c r="G107" s="194">
        <f t="shared" si="7"/>
        <v>-468.25747499999989</v>
      </c>
      <c r="H107" s="308">
        <f t="shared" si="8"/>
        <v>78.034514205033503</v>
      </c>
      <c r="J107" s="128"/>
      <c r="K107" s="128"/>
      <c r="L107" s="128"/>
      <c r="M107" s="128"/>
      <c r="N107" s="128"/>
      <c r="O107" s="128"/>
      <c r="P107" s="128"/>
    </row>
    <row r="108" spans="1:16" s="127" customFormat="1">
      <c r="A108" s="421" t="s">
        <v>120</v>
      </c>
      <c r="B108" s="422"/>
      <c r="C108" s="422"/>
      <c r="D108" s="422"/>
      <c r="E108" s="422"/>
      <c r="F108" s="422"/>
      <c r="G108" s="422"/>
      <c r="H108" s="423"/>
      <c r="K108" s="128"/>
      <c r="L108" s="128"/>
      <c r="M108" s="128"/>
      <c r="N108" s="128"/>
      <c r="O108" s="128"/>
      <c r="P108" s="128"/>
    </row>
    <row r="109" spans="1:16" s="127" customFormat="1">
      <c r="A109" s="167" t="s">
        <v>121</v>
      </c>
      <c r="B109" s="168">
        <v>8000</v>
      </c>
      <c r="C109" s="152">
        <f>C110+C111+C112+C113+C114+C115</f>
        <v>0</v>
      </c>
      <c r="D109" s="152">
        <f>D110+D111+D112+D113+D114+D115</f>
        <v>0</v>
      </c>
      <c r="E109" s="152">
        <f>E110+E111+E112+E113+E114+E115</f>
        <v>0</v>
      </c>
      <c r="F109" s="152">
        <f>F110+F111+F112+F113+F114+F115</f>
        <v>0</v>
      </c>
      <c r="G109" s="152">
        <f t="shared" ref="G109:G120" si="9">F109-E109</f>
        <v>0</v>
      </c>
      <c r="H109" s="153"/>
      <c r="K109" s="128"/>
      <c r="L109" s="128"/>
      <c r="M109" s="128"/>
      <c r="N109" s="128"/>
      <c r="O109" s="128"/>
      <c r="P109" s="128"/>
    </row>
    <row r="110" spans="1:16" s="127" customFormat="1">
      <c r="A110" s="164" t="s">
        <v>122</v>
      </c>
      <c r="B110" s="168">
        <v>8010</v>
      </c>
      <c r="C110" s="149"/>
      <c r="D110" s="149"/>
      <c r="E110" s="149"/>
      <c r="F110" s="149"/>
      <c r="G110" s="152">
        <f t="shared" si="9"/>
        <v>0</v>
      </c>
      <c r="H110" s="153"/>
      <c r="K110" s="128"/>
      <c r="L110" s="128"/>
      <c r="M110" s="128"/>
      <c r="N110" s="128"/>
      <c r="O110" s="128"/>
      <c r="P110" s="128"/>
    </row>
    <row r="111" spans="1:16" s="127" customFormat="1">
      <c r="A111" s="164" t="s">
        <v>123</v>
      </c>
      <c r="B111" s="168">
        <v>8020</v>
      </c>
      <c r="C111" s="149"/>
      <c r="D111" s="149"/>
      <c r="E111" s="149"/>
      <c r="F111" s="149"/>
      <c r="G111" s="152">
        <f t="shared" si="9"/>
        <v>0</v>
      </c>
      <c r="H111" s="153"/>
      <c r="K111" s="128"/>
      <c r="L111" s="128"/>
      <c r="M111" s="128"/>
      <c r="N111" s="128"/>
      <c r="O111" s="128"/>
      <c r="P111" s="128"/>
    </row>
    <row r="112" spans="1:16" s="127" customFormat="1" ht="28.5" customHeight="1">
      <c r="A112" s="164" t="s">
        <v>124</v>
      </c>
      <c r="B112" s="168">
        <v>8030</v>
      </c>
      <c r="C112" s="149"/>
      <c r="D112" s="149"/>
      <c r="E112" s="149"/>
      <c r="F112" s="149"/>
      <c r="G112" s="152">
        <f t="shared" si="9"/>
        <v>0</v>
      </c>
      <c r="H112" s="153"/>
      <c r="K112" s="128"/>
      <c r="L112" s="128"/>
      <c r="M112" s="128"/>
      <c r="N112" s="128"/>
      <c r="O112" s="128"/>
      <c r="P112" s="128"/>
    </row>
    <row r="113" spans="1:16" s="127" customFormat="1">
      <c r="A113" s="164" t="s">
        <v>125</v>
      </c>
      <c r="B113" s="168">
        <v>8040</v>
      </c>
      <c r="C113" s="149"/>
      <c r="D113" s="149"/>
      <c r="E113" s="149"/>
      <c r="F113" s="149"/>
      <c r="G113" s="152">
        <f t="shared" si="9"/>
        <v>0</v>
      </c>
      <c r="H113" s="153"/>
      <c r="K113" s="128"/>
      <c r="L113" s="128"/>
      <c r="M113" s="128"/>
      <c r="N113" s="128"/>
      <c r="O113" s="128"/>
      <c r="P113" s="128"/>
    </row>
    <row r="114" spans="1:16" s="127" customFormat="1" ht="31.5">
      <c r="A114" s="164" t="s">
        <v>126</v>
      </c>
      <c r="B114" s="168">
        <v>8050</v>
      </c>
      <c r="C114" s="149"/>
      <c r="D114" s="149"/>
      <c r="E114" s="149"/>
      <c r="F114" s="149"/>
      <c r="G114" s="152">
        <f t="shared" si="9"/>
        <v>0</v>
      </c>
      <c r="H114" s="153"/>
      <c r="K114" s="128"/>
      <c r="L114" s="128"/>
      <c r="M114" s="128"/>
      <c r="N114" s="128"/>
      <c r="O114" s="128"/>
      <c r="P114" s="128"/>
    </row>
    <row r="115" spans="1:16" s="127" customFormat="1">
      <c r="A115" s="164" t="s">
        <v>127</v>
      </c>
      <c r="B115" s="169">
        <v>8060</v>
      </c>
      <c r="C115" s="149"/>
      <c r="D115" s="149"/>
      <c r="E115" s="149"/>
      <c r="F115" s="149"/>
      <c r="G115" s="152">
        <f t="shared" si="9"/>
        <v>0</v>
      </c>
      <c r="H115" s="153"/>
      <c r="K115" s="128"/>
      <c r="L115" s="128"/>
      <c r="M115" s="128"/>
      <c r="N115" s="128"/>
      <c r="O115" s="128"/>
      <c r="P115" s="128"/>
    </row>
    <row r="116" spans="1:16" s="127" customFormat="1" ht="18.75" customHeight="1">
      <c r="A116" s="167" t="s">
        <v>128</v>
      </c>
      <c r="B116" s="169">
        <v>8100</v>
      </c>
      <c r="C116" s="152">
        <f>C117+C118+C119+C120</f>
        <v>0</v>
      </c>
      <c r="D116" s="152">
        <f>D117+D118+D119+D120</f>
        <v>0</v>
      </c>
      <c r="E116" s="152">
        <f>E117+E118+E119+E120</f>
        <v>0</v>
      </c>
      <c r="F116" s="152">
        <f>F117+F118+F119+F120</f>
        <v>0</v>
      </c>
      <c r="G116" s="152">
        <f t="shared" si="9"/>
        <v>0</v>
      </c>
      <c r="H116" s="153"/>
      <c r="K116" s="128"/>
      <c r="L116" s="128"/>
      <c r="M116" s="128"/>
      <c r="N116" s="128"/>
      <c r="O116" s="128"/>
      <c r="P116" s="128"/>
    </row>
    <row r="117" spans="1:16" s="127" customFormat="1">
      <c r="A117" s="165" t="s">
        <v>129</v>
      </c>
      <c r="B117" s="169" t="s">
        <v>130</v>
      </c>
      <c r="C117" s="149"/>
      <c r="D117" s="149"/>
      <c r="E117" s="149"/>
      <c r="F117" s="149"/>
      <c r="G117" s="152">
        <f t="shared" si="9"/>
        <v>0</v>
      </c>
      <c r="H117" s="153"/>
      <c r="K117" s="128"/>
      <c r="L117" s="128"/>
      <c r="M117" s="128"/>
      <c r="N117" s="128"/>
      <c r="O117" s="128"/>
      <c r="P117" s="128"/>
    </row>
    <row r="118" spans="1:16" s="127" customFormat="1">
      <c r="A118" s="165" t="s">
        <v>131</v>
      </c>
      <c r="B118" s="169" t="s">
        <v>132</v>
      </c>
      <c r="C118" s="149"/>
      <c r="D118" s="149"/>
      <c r="E118" s="149"/>
      <c r="F118" s="149"/>
      <c r="G118" s="152">
        <f t="shared" si="9"/>
        <v>0</v>
      </c>
      <c r="H118" s="153"/>
      <c r="K118" s="128"/>
      <c r="L118" s="128"/>
      <c r="M118" s="128"/>
      <c r="N118" s="128"/>
      <c r="O118" s="128"/>
      <c r="P118" s="128"/>
    </row>
    <row r="119" spans="1:16" s="127" customFormat="1">
      <c r="A119" s="165" t="s">
        <v>133</v>
      </c>
      <c r="B119" s="169" t="s">
        <v>134</v>
      </c>
      <c r="C119" s="149"/>
      <c r="D119" s="149"/>
      <c r="E119" s="149"/>
      <c r="F119" s="149"/>
      <c r="G119" s="152">
        <f t="shared" si="9"/>
        <v>0</v>
      </c>
      <c r="H119" s="153"/>
      <c r="K119" s="128"/>
      <c r="L119" s="128"/>
      <c r="M119" s="128"/>
      <c r="N119" s="128"/>
      <c r="O119" s="128"/>
      <c r="P119" s="128"/>
    </row>
    <row r="120" spans="1:16" s="127" customFormat="1">
      <c r="A120" s="165" t="s">
        <v>135</v>
      </c>
      <c r="B120" s="169" t="s">
        <v>136</v>
      </c>
      <c r="C120" s="149"/>
      <c r="D120" s="149"/>
      <c r="E120" s="149"/>
      <c r="F120" s="149"/>
      <c r="G120" s="152">
        <f t="shared" si="9"/>
        <v>0</v>
      </c>
      <c r="H120" s="153"/>
      <c r="K120" s="128"/>
      <c r="L120" s="128"/>
      <c r="M120" s="128"/>
      <c r="N120" s="128"/>
      <c r="O120" s="128"/>
      <c r="P120" s="128"/>
    </row>
    <row r="121" spans="1:16" s="127" customFormat="1">
      <c r="A121" s="424" t="s">
        <v>137</v>
      </c>
      <c r="B121" s="425"/>
      <c r="C121" s="425"/>
      <c r="D121" s="425"/>
      <c r="E121" s="425"/>
      <c r="F121" s="425"/>
      <c r="G121" s="425"/>
      <c r="H121" s="426"/>
      <c r="K121" s="128"/>
      <c r="L121" s="128"/>
      <c r="M121" s="128"/>
      <c r="N121" s="128"/>
      <c r="O121" s="128"/>
      <c r="P121" s="128"/>
    </row>
    <row r="122" spans="1:16" s="127" customFormat="1">
      <c r="A122" s="166" t="s">
        <v>138</v>
      </c>
      <c r="B122" s="143">
        <v>9010</v>
      </c>
      <c r="C122" s="170">
        <f>C92/C32*100</f>
        <v>12.775275550240748</v>
      </c>
      <c r="D122" s="170">
        <f>D92/D32*100</f>
        <v>2.0469551594434252</v>
      </c>
      <c r="E122" s="170">
        <f>E92/E32*100</f>
        <v>0</v>
      </c>
      <c r="F122" s="170">
        <f>F92/F32*100</f>
        <v>-5.4277088569941432</v>
      </c>
      <c r="G122" s="170"/>
      <c r="H122" s="148"/>
      <c r="K122" s="128"/>
      <c r="L122" s="128"/>
      <c r="M122" s="128"/>
      <c r="N122" s="128"/>
      <c r="O122" s="128"/>
      <c r="P122" s="128"/>
    </row>
    <row r="123" spans="1:16" s="127" customFormat="1">
      <c r="A123" s="166" t="s">
        <v>139</v>
      </c>
      <c r="B123" s="143">
        <v>9020</v>
      </c>
      <c r="C123" s="170">
        <f>C92/C135*100</f>
        <v>69.907162196598463</v>
      </c>
      <c r="D123" s="170">
        <f>D92/D135*100</f>
        <v>10.171607225567351</v>
      </c>
      <c r="E123" s="170">
        <f>E92/E135*100</f>
        <v>0</v>
      </c>
      <c r="F123" s="170">
        <f>F92/F135*100</f>
        <v>-8.5676817971282873</v>
      </c>
      <c r="G123" s="170"/>
      <c r="H123" s="148"/>
      <c r="K123" s="128"/>
      <c r="L123" s="128"/>
      <c r="M123" s="128"/>
      <c r="N123" s="128"/>
      <c r="O123" s="128"/>
      <c r="P123" s="128"/>
    </row>
    <row r="124" spans="1:16" s="127" customFormat="1">
      <c r="A124" s="166" t="s">
        <v>140</v>
      </c>
      <c r="B124" s="143">
        <v>9030</v>
      </c>
      <c r="C124" s="170">
        <f>C92/C141*100</f>
        <v>129.89177592929838</v>
      </c>
      <c r="D124" s="170">
        <f>D92/D141*100</f>
        <v>18.687799170300959</v>
      </c>
      <c r="E124" s="170">
        <f>E92/E141*100</f>
        <v>0</v>
      </c>
      <c r="F124" s="170">
        <f>F92/F141*100</f>
        <v>-15.740985001595554</v>
      </c>
      <c r="G124" s="170"/>
      <c r="H124" s="148"/>
      <c r="K124" s="128"/>
      <c r="L124" s="128"/>
      <c r="M124" s="128"/>
      <c r="N124" s="128"/>
      <c r="O124" s="128"/>
      <c r="P124" s="128"/>
    </row>
    <row r="125" spans="1:16" s="127" customFormat="1">
      <c r="A125" s="166" t="s">
        <v>141</v>
      </c>
      <c r="B125" s="143">
        <v>9040</v>
      </c>
      <c r="C125" s="170">
        <f>C141/(C136+C137)</f>
        <v>1.1654182272159801</v>
      </c>
      <c r="D125" s="170">
        <f>D141/(D136+D137)</f>
        <v>1.1943844492440603</v>
      </c>
      <c r="E125" s="170"/>
      <c r="F125" s="170">
        <f>F141/(F136+F137)</f>
        <v>1.1943844492440603</v>
      </c>
      <c r="G125" s="170"/>
      <c r="H125" s="148"/>
      <c r="K125" s="128"/>
      <c r="L125" s="128"/>
      <c r="M125" s="128"/>
      <c r="N125" s="128"/>
      <c r="O125" s="128"/>
      <c r="P125" s="128"/>
    </row>
    <row r="126" spans="1:16" s="127" customFormat="1">
      <c r="A126" s="166" t="s">
        <v>142</v>
      </c>
      <c r="B126" s="143">
        <v>9050</v>
      </c>
      <c r="C126" s="170">
        <f>C131/C130</f>
        <v>0.69152208687092409</v>
      </c>
      <c r="D126" s="170">
        <f>D131/D130</f>
        <v>0.72739610461064452</v>
      </c>
      <c r="E126" s="170">
        <f>E131/E130</f>
        <v>0.6700618875709129</v>
      </c>
      <c r="F126" s="170">
        <f>F131/F130</f>
        <v>0.72739610461064452</v>
      </c>
      <c r="G126" s="170"/>
      <c r="H126" s="148"/>
      <c r="K126" s="128"/>
      <c r="L126" s="128"/>
      <c r="M126" s="128"/>
      <c r="N126" s="128"/>
      <c r="O126" s="128"/>
      <c r="P126" s="128"/>
    </row>
    <row r="127" spans="1:16" s="127" customFormat="1">
      <c r="A127" s="418" t="s">
        <v>143</v>
      </c>
      <c r="B127" s="419"/>
      <c r="C127" s="419"/>
      <c r="D127" s="419"/>
      <c r="E127" s="419"/>
      <c r="F127" s="419"/>
      <c r="G127" s="419"/>
      <c r="H127" s="420"/>
      <c r="K127" s="128"/>
      <c r="L127" s="128"/>
      <c r="M127" s="128"/>
      <c r="N127" s="128"/>
      <c r="O127" s="128"/>
      <c r="P127" s="128"/>
    </row>
    <row r="128" spans="1:16" s="127" customFormat="1">
      <c r="A128" s="166" t="s">
        <v>144</v>
      </c>
      <c r="B128" s="143">
        <v>10000</v>
      </c>
      <c r="C128" s="193">
        <f>C129</f>
        <v>2507</v>
      </c>
      <c r="D128" s="193">
        <v>2271.6</v>
      </c>
      <c r="E128" s="193">
        <f>E129</f>
        <v>2559</v>
      </c>
      <c r="F128" s="193">
        <f>D128</f>
        <v>2271.6</v>
      </c>
      <c r="G128" s="198">
        <f>D128-E128</f>
        <v>-287.40000000000009</v>
      </c>
      <c r="H128" s="309">
        <f>F128/E128*100</f>
        <v>88.769050410316524</v>
      </c>
      <c r="K128" s="128"/>
      <c r="L128" s="128"/>
      <c r="M128" s="128"/>
      <c r="N128" s="128"/>
      <c r="O128" s="128"/>
      <c r="P128" s="128"/>
    </row>
    <row r="129" spans="1:16" s="127" customFormat="1">
      <c r="A129" s="166" t="s">
        <v>145</v>
      </c>
      <c r="B129" s="143">
        <v>10001</v>
      </c>
      <c r="C129" s="198">
        <f>C130-C131</f>
        <v>2507</v>
      </c>
      <c r="D129" s="204">
        <f>D130-D131</f>
        <v>2229.5999999999995</v>
      </c>
      <c r="E129" s="204">
        <f>E130-E131</f>
        <v>2559</v>
      </c>
      <c r="F129" s="204">
        <f>F130-F131</f>
        <v>2229.5999999999995</v>
      </c>
      <c r="G129" s="198">
        <f t="shared" ref="G129:G141" si="10">D129-E129</f>
        <v>-329.40000000000055</v>
      </c>
      <c r="H129" s="309">
        <f>F129/E129*100</f>
        <v>87.127784290738546</v>
      </c>
      <c r="K129" s="128"/>
      <c r="L129" s="128"/>
      <c r="M129" s="128"/>
      <c r="N129" s="128"/>
      <c r="O129" s="128"/>
      <c r="P129" s="128"/>
    </row>
    <row r="130" spans="1:16" s="127" customFormat="1">
      <c r="A130" s="166" t="s">
        <v>146</v>
      </c>
      <c r="B130" s="143">
        <v>10002</v>
      </c>
      <c r="C130" s="204">
        <f>'2023'!E130</f>
        <v>8127</v>
      </c>
      <c r="D130" s="205">
        <v>8178.9</v>
      </c>
      <c r="E130" s="193">
        <v>7756</v>
      </c>
      <c r="F130" s="204">
        <f>D130</f>
        <v>8178.9</v>
      </c>
      <c r="G130" s="198">
        <f t="shared" si="10"/>
        <v>422.89999999999964</v>
      </c>
      <c r="H130" s="309">
        <f>F130/E130*100</f>
        <v>105.45255286230015</v>
      </c>
      <c r="I130" s="131"/>
      <c r="K130" s="128"/>
      <c r="L130" s="128"/>
      <c r="M130" s="128"/>
      <c r="N130" s="128"/>
      <c r="O130" s="128"/>
      <c r="P130" s="128"/>
    </row>
    <row r="131" spans="1:16" s="127" customFormat="1">
      <c r="A131" s="166" t="s">
        <v>147</v>
      </c>
      <c r="B131" s="143">
        <v>10003</v>
      </c>
      <c r="C131" s="204">
        <f>'2023'!E131</f>
        <v>5620</v>
      </c>
      <c r="D131" s="205">
        <v>5949.3</v>
      </c>
      <c r="E131" s="193">
        <v>5197</v>
      </c>
      <c r="F131" s="204">
        <f>D131</f>
        <v>5949.3</v>
      </c>
      <c r="G131" s="198">
        <f t="shared" si="10"/>
        <v>752.30000000000018</v>
      </c>
      <c r="H131" s="309">
        <f>F131/E131*100</f>
        <v>114.47565903405813</v>
      </c>
      <c r="K131" s="128"/>
      <c r="L131" s="128"/>
      <c r="M131" s="128"/>
      <c r="N131" s="128"/>
      <c r="O131" s="128"/>
      <c r="P131" s="128"/>
    </row>
    <row r="132" spans="1:16" s="127" customFormat="1">
      <c r="A132" s="166" t="s">
        <v>148</v>
      </c>
      <c r="B132" s="143">
        <v>10010</v>
      </c>
      <c r="C132" s="204">
        <f>C133+C134</f>
        <v>962</v>
      </c>
      <c r="D132" s="204">
        <v>1182.8</v>
      </c>
      <c r="E132" s="204">
        <f>E133+E134</f>
        <v>0</v>
      </c>
      <c r="F132" s="204">
        <f>D132</f>
        <v>1182.8</v>
      </c>
      <c r="G132" s="198">
        <f t="shared" si="10"/>
        <v>1182.8</v>
      </c>
      <c r="H132" s="309"/>
      <c r="K132" s="128"/>
      <c r="L132" s="128"/>
      <c r="M132" s="128"/>
      <c r="N132" s="128"/>
      <c r="O132" s="128"/>
      <c r="P132" s="128"/>
    </row>
    <row r="133" spans="1:16" s="127" customFormat="1">
      <c r="A133" s="166" t="s">
        <v>149</v>
      </c>
      <c r="B133" s="143">
        <v>10011</v>
      </c>
      <c r="C133" s="204">
        <f>'2023'!E133</f>
        <v>944</v>
      </c>
      <c r="D133" s="204">
        <v>352.8</v>
      </c>
      <c r="E133" s="193"/>
      <c r="F133" s="204">
        <f>D133</f>
        <v>352.8</v>
      </c>
      <c r="G133" s="198">
        <f t="shared" si="10"/>
        <v>352.8</v>
      </c>
      <c r="H133" s="309"/>
      <c r="K133" s="128"/>
      <c r="L133" s="128"/>
      <c r="M133" s="128"/>
      <c r="N133" s="128"/>
      <c r="O133" s="128"/>
      <c r="P133" s="128"/>
    </row>
    <row r="134" spans="1:16" s="127" customFormat="1">
      <c r="A134" s="166" t="s">
        <v>150</v>
      </c>
      <c r="B134" s="143">
        <v>10012</v>
      </c>
      <c r="C134" s="204">
        <f>'2023'!E134</f>
        <v>18</v>
      </c>
      <c r="D134" s="204">
        <f>11.9+0.5</f>
        <v>12.4</v>
      </c>
      <c r="E134" s="193"/>
      <c r="F134" s="204">
        <f>D134</f>
        <v>12.4</v>
      </c>
      <c r="G134" s="198">
        <f t="shared" si="10"/>
        <v>12.4</v>
      </c>
      <c r="H134" s="309"/>
      <c r="K134" s="128"/>
      <c r="L134" s="128"/>
      <c r="M134" s="128"/>
      <c r="N134" s="128"/>
      <c r="O134" s="128"/>
      <c r="P134" s="128"/>
    </row>
    <row r="135" spans="1:16" s="127" customFormat="1">
      <c r="A135" s="167" t="s">
        <v>151</v>
      </c>
      <c r="B135" s="143">
        <v>10020</v>
      </c>
      <c r="C135" s="310">
        <f>C128+C132</f>
        <v>3469</v>
      </c>
      <c r="D135" s="311">
        <f>D128+D132</f>
        <v>3454.3999999999996</v>
      </c>
      <c r="E135" s="310">
        <f>E128+E132</f>
        <v>2559</v>
      </c>
      <c r="F135" s="310">
        <f>F128+F132</f>
        <v>3454.3999999999996</v>
      </c>
      <c r="G135" s="304">
        <f t="shared" si="10"/>
        <v>895.39999999999964</v>
      </c>
      <c r="H135" s="300">
        <f>F135/E135*100</f>
        <v>134.99023055881202</v>
      </c>
      <c r="K135" s="128"/>
      <c r="L135" s="128"/>
      <c r="M135" s="128"/>
      <c r="N135" s="128"/>
      <c r="O135" s="128"/>
      <c r="P135" s="128"/>
    </row>
    <row r="136" spans="1:16" s="127" customFormat="1">
      <c r="A136" s="166" t="s">
        <v>152</v>
      </c>
      <c r="B136" s="143">
        <v>10030</v>
      </c>
      <c r="C136" s="204">
        <f>'2023'!E136</f>
        <v>7</v>
      </c>
      <c r="D136" s="204">
        <v>7</v>
      </c>
      <c r="E136" s="193"/>
      <c r="F136" s="204">
        <f>D136</f>
        <v>7</v>
      </c>
      <c r="G136" s="198">
        <f t="shared" si="10"/>
        <v>7</v>
      </c>
      <c r="H136" s="309"/>
      <c r="K136" s="128"/>
      <c r="L136" s="128"/>
      <c r="M136" s="128"/>
      <c r="N136" s="128"/>
      <c r="O136" s="128"/>
      <c r="P136" s="128"/>
    </row>
    <row r="137" spans="1:16" s="127" customFormat="1">
      <c r="A137" s="166" t="s">
        <v>153</v>
      </c>
      <c r="B137" s="143">
        <v>10040</v>
      </c>
      <c r="C137" s="204">
        <f>'2023'!E137</f>
        <v>1595</v>
      </c>
      <c r="D137" s="204">
        <v>1567.2</v>
      </c>
      <c r="E137" s="193"/>
      <c r="F137" s="204">
        <f>D137</f>
        <v>1567.2</v>
      </c>
      <c r="G137" s="198">
        <f t="shared" si="10"/>
        <v>1567.2</v>
      </c>
      <c r="H137" s="309"/>
      <c r="K137" s="128"/>
      <c r="L137" s="128"/>
      <c r="M137" s="128"/>
      <c r="N137" s="128"/>
      <c r="O137" s="128"/>
      <c r="P137" s="128"/>
    </row>
    <row r="138" spans="1:16" s="127" customFormat="1">
      <c r="A138" s="167" t="s">
        <v>154</v>
      </c>
      <c r="B138" s="143">
        <v>10050</v>
      </c>
      <c r="C138" s="194">
        <f>SUM(C136:C137)</f>
        <v>1602</v>
      </c>
      <c r="D138" s="312">
        <f>SUM(D136:D137)</f>
        <v>1574.2</v>
      </c>
      <c r="E138" s="312">
        <f>SUM(E136:E137)</f>
        <v>0</v>
      </c>
      <c r="F138" s="315">
        <f>SUM(F136:F137)</f>
        <v>1574.2</v>
      </c>
      <c r="G138" s="304">
        <f t="shared" si="10"/>
        <v>1574.2</v>
      </c>
      <c r="H138" s="300"/>
      <c r="K138" s="128"/>
      <c r="L138" s="128"/>
      <c r="M138" s="128"/>
      <c r="N138" s="128"/>
      <c r="O138" s="128"/>
      <c r="P138" s="128"/>
    </row>
    <row r="139" spans="1:16" s="127" customFormat="1">
      <c r="A139" s="166" t="s">
        <v>155</v>
      </c>
      <c r="B139" s="143">
        <v>10060</v>
      </c>
      <c r="C139" s="193"/>
      <c r="D139" s="193"/>
      <c r="E139" s="193"/>
      <c r="F139" s="204"/>
      <c r="G139" s="198">
        <f t="shared" si="10"/>
        <v>0</v>
      </c>
      <c r="H139" s="309"/>
      <c r="K139" s="128"/>
      <c r="L139" s="128"/>
      <c r="M139" s="128"/>
      <c r="N139" s="128"/>
      <c r="O139" s="128"/>
      <c r="P139" s="128"/>
    </row>
    <row r="140" spans="1:16" s="127" customFormat="1">
      <c r="A140" s="166" t="s">
        <v>156</v>
      </c>
      <c r="B140" s="143">
        <v>10070</v>
      </c>
      <c r="C140" s="193"/>
      <c r="D140" s="193"/>
      <c r="E140" s="193"/>
      <c r="F140" s="198"/>
      <c r="G140" s="198">
        <f t="shared" si="10"/>
        <v>0</v>
      </c>
      <c r="H140" s="309"/>
      <c r="K140" s="128"/>
      <c r="L140" s="128"/>
      <c r="M140" s="128"/>
      <c r="N140" s="128"/>
      <c r="O140" s="128"/>
      <c r="P140" s="128"/>
    </row>
    <row r="141" spans="1:16" s="127" customFormat="1">
      <c r="A141" s="167" t="s">
        <v>157</v>
      </c>
      <c r="B141" s="143">
        <v>10080</v>
      </c>
      <c r="C141" s="300">
        <f>C135-C138</f>
        <v>1867</v>
      </c>
      <c r="D141" s="300">
        <f>D135-D138</f>
        <v>1880.1999999999996</v>
      </c>
      <c r="E141" s="300">
        <f>E135-E138</f>
        <v>2559</v>
      </c>
      <c r="F141" s="300">
        <f>F135-F138</f>
        <v>1880.1999999999996</v>
      </c>
      <c r="G141" s="304">
        <f t="shared" si="10"/>
        <v>-678.80000000000041</v>
      </c>
      <c r="H141" s="300">
        <f>F141/E141*100</f>
        <v>73.474013286439998</v>
      </c>
      <c r="K141" s="128"/>
      <c r="L141" s="128"/>
      <c r="M141" s="128"/>
      <c r="N141" s="128"/>
      <c r="O141" s="128"/>
      <c r="P141" s="128"/>
    </row>
    <row r="142" spans="1:16" s="127" customFormat="1">
      <c r="A142" s="421" t="s">
        <v>158</v>
      </c>
      <c r="B142" s="422"/>
      <c r="C142" s="422"/>
      <c r="D142" s="422"/>
      <c r="E142" s="422"/>
      <c r="F142" s="422"/>
      <c r="G142" s="422"/>
      <c r="H142" s="423"/>
      <c r="K142" s="128"/>
      <c r="L142" s="128"/>
      <c r="M142" s="128"/>
      <c r="N142" s="128"/>
      <c r="O142" s="128"/>
      <c r="P142" s="128"/>
    </row>
    <row r="143" spans="1:16" s="127" customFormat="1">
      <c r="A143" s="167" t="s">
        <v>159</v>
      </c>
      <c r="B143" s="173" t="s">
        <v>160</v>
      </c>
      <c r="C143" s="180">
        <f>SUM(C144:C146)</f>
        <v>0</v>
      </c>
      <c r="D143" s="180">
        <f>SUM(D144:D146)</f>
        <v>0</v>
      </c>
      <c r="E143" s="180">
        <f>SUM(E144:E146)</f>
        <v>0</v>
      </c>
      <c r="F143" s="180">
        <f>SUM(F144:F146)</f>
        <v>0</v>
      </c>
      <c r="G143" s="180">
        <f t="shared" ref="G143:G150" si="11">F143-E143</f>
        <v>0</v>
      </c>
      <c r="H143" s="179"/>
      <c r="K143" s="128"/>
      <c r="L143" s="128"/>
      <c r="M143" s="128"/>
      <c r="N143" s="128"/>
      <c r="O143" s="128"/>
      <c r="P143" s="128"/>
    </row>
    <row r="144" spans="1:16" s="127" customFormat="1">
      <c r="A144" s="166" t="s">
        <v>161</v>
      </c>
      <c r="B144" s="173" t="s">
        <v>162</v>
      </c>
      <c r="C144" s="149"/>
      <c r="D144" s="149"/>
      <c r="E144" s="149"/>
      <c r="F144" s="181"/>
      <c r="G144" s="181">
        <f t="shared" si="11"/>
        <v>0</v>
      </c>
      <c r="H144" s="182"/>
      <c r="K144" s="128"/>
      <c r="L144" s="128"/>
      <c r="M144" s="128"/>
      <c r="N144" s="128"/>
      <c r="O144" s="128"/>
      <c r="P144" s="128"/>
    </row>
    <row r="145" spans="1:16" s="127" customFormat="1">
      <c r="A145" s="166" t="s">
        <v>163</v>
      </c>
      <c r="B145" s="173" t="s">
        <v>164</v>
      </c>
      <c r="C145" s="149"/>
      <c r="D145" s="149"/>
      <c r="E145" s="149"/>
      <c r="F145" s="181"/>
      <c r="G145" s="181">
        <f t="shared" si="11"/>
        <v>0</v>
      </c>
      <c r="H145" s="182"/>
      <c r="K145" s="128"/>
      <c r="L145" s="128"/>
      <c r="M145" s="128"/>
      <c r="N145" s="128"/>
      <c r="O145" s="128"/>
      <c r="P145" s="128"/>
    </row>
    <row r="146" spans="1:16" s="127" customFormat="1">
      <c r="A146" s="166" t="s">
        <v>165</v>
      </c>
      <c r="B146" s="173" t="s">
        <v>166</v>
      </c>
      <c r="C146" s="149"/>
      <c r="D146" s="149"/>
      <c r="E146" s="149"/>
      <c r="F146" s="181"/>
      <c r="G146" s="181">
        <f t="shared" si="11"/>
        <v>0</v>
      </c>
      <c r="H146" s="182"/>
      <c r="K146" s="128"/>
      <c r="L146" s="128"/>
      <c r="M146" s="128"/>
      <c r="N146" s="128"/>
      <c r="O146" s="128"/>
      <c r="P146" s="128"/>
    </row>
    <row r="147" spans="1:16" s="127" customFormat="1">
      <c r="A147" s="167" t="s">
        <v>167</v>
      </c>
      <c r="B147" s="173" t="s">
        <v>168</v>
      </c>
      <c r="C147" s="180">
        <f>SUM(C148:C150)</f>
        <v>0</v>
      </c>
      <c r="D147" s="180">
        <f>SUM(D148:D150)</f>
        <v>0</v>
      </c>
      <c r="E147" s="180">
        <f>SUM(E148:E150)</f>
        <v>0</v>
      </c>
      <c r="F147" s="180">
        <f>SUM(F148:F150)</f>
        <v>0</v>
      </c>
      <c r="G147" s="180">
        <f t="shared" si="11"/>
        <v>0</v>
      </c>
      <c r="H147" s="179"/>
      <c r="K147" s="128"/>
      <c r="L147" s="128"/>
      <c r="M147" s="128"/>
      <c r="N147" s="128"/>
      <c r="O147" s="128"/>
      <c r="P147" s="128"/>
    </row>
    <row r="148" spans="1:16" s="127" customFormat="1">
      <c r="A148" s="166" t="s">
        <v>161</v>
      </c>
      <c r="B148" s="173" t="s">
        <v>169</v>
      </c>
      <c r="C148" s="149"/>
      <c r="D148" s="149"/>
      <c r="E148" s="149"/>
      <c r="F148" s="149"/>
      <c r="G148" s="152">
        <f t="shared" si="11"/>
        <v>0</v>
      </c>
      <c r="H148" s="153"/>
      <c r="K148" s="128"/>
      <c r="L148" s="128"/>
      <c r="M148" s="128"/>
      <c r="N148" s="128"/>
      <c r="O148" s="128"/>
      <c r="P148" s="128"/>
    </row>
    <row r="149" spans="1:16" s="127" customFormat="1">
      <c r="A149" s="166" t="s">
        <v>163</v>
      </c>
      <c r="B149" s="173" t="s">
        <v>170</v>
      </c>
      <c r="C149" s="149"/>
      <c r="D149" s="149"/>
      <c r="E149" s="149"/>
      <c r="F149" s="149"/>
      <c r="G149" s="152">
        <f t="shared" si="11"/>
        <v>0</v>
      </c>
      <c r="H149" s="153"/>
      <c r="K149" s="128"/>
      <c r="L149" s="128"/>
      <c r="M149" s="128"/>
      <c r="N149" s="128"/>
      <c r="O149" s="128"/>
      <c r="P149" s="128"/>
    </row>
    <row r="150" spans="1:16" s="127" customFormat="1">
      <c r="A150" s="166" t="s">
        <v>165</v>
      </c>
      <c r="B150" s="173" t="s">
        <v>171</v>
      </c>
      <c r="C150" s="149"/>
      <c r="D150" s="149"/>
      <c r="E150" s="149"/>
      <c r="F150" s="149"/>
      <c r="G150" s="152">
        <f t="shared" si="11"/>
        <v>0</v>
      </c>
      <c r="H150" s="153"/>
      <c r="K150" s="128"/>
      <c r="L150" s="128"/>
      <c r="M150" s="128"/>
      <c r="N150" s="128"/>
      <c r="O150" s="128"/>
      <c r="P150" s="128"/>
    </row>
    <row r="151" spans="1:16" s="127" customFormat="1">
      <c r="A151" s="418" t="s">
        <v>172</v>
      </c>
      <c r="B151" s="419"/>
      <c r="C151" s="419"/>
      <c r="D151" s="419"/>
      <c r="E151" s="419"/>
      <c r="F151" s="419"/>
      <c r="G151" s="419"/>
      <c r="H151" s="420"/>
      <c r="K151" s="128"/>
      <c r="L151" s="128"/>
      <c r="M151" s="128"/>
      <c r="N151" s="128"/>
      <c r="O151" s="128"/>
      <c r="P151" s="128"/>
    </row>
    <row r="152" spans="1:16" s="127" customFormat="1" ht="52.5" customHeight="1">
      <c r="A152" s="167" t="s">
        <v>257</v>
      </c>
      <c r="B152" s="173" t="s">
        <v>174</v>
      </c>
      <c r="C152" s="152">
        <f>C153+C154+C155+C156+C157+C158</f>
        <v>104.875</v>
      </c>
      <c r="D152" s="152">
        <f>D153+D154+D155+D156+D157+D158</f>
        <v>109.75</v>
      </c>
      <c r="E152" s="152">
        <f>E153+E154+E155+E156+E157+E158</f>
        <v>120</v>
      </c>
      <c r="F152" s="152">
        <f>F153+F154+F155+F156+F157+F158</f>
        <v>111</v>
      </c>
      <c r="G152" s="152">
        <f t="shared" ref="G152:G180" si="12">F152-E152</f>
        <v>-9</v>
      </c>
      <c r="H152" s="185">
        <f t="shared" ref="H152:H179" si="13">(F152/E152)*100</f>
        <v>92.5</v>
      </c>
      <c r="K152" s="128"/>
      <c r="L152" s="128"/>
      <c r="M152" s="128"/>
      <c r="N152" s="128"/>
      <c r="O152" s="128"/>
      <c r="P152" s="128"/>
    </row>
    <row r="153" spans="1:16" s="127" customFormat="1">
      <c r="A153" s="164" t="s">
        <v>175</v>
      </c>
      <c r="B153" s="173" t="s">
        <v>176</v>
      </c>
      <c r="C153" s="196">
        <f>'2023'!E153</f>
        <v>1</v>
      </c>
      <c r="D153" s="276">
        <f>(F153+'2 кв'!D153)/2</f>
        <v>1</v>
      </c>
      <c r="E153" s="205">
        <f>план!I153</f>
        <v>1</v>
      </c>
      <c r="F153" s="196">
        <v>1</v>
      </c>
      <c r="G153" s="190">
        <f t="shared" si="12"/>
        <v>0</v>
      </c>
      <c r="H153" s="283">
        <f t="shared" si="13"/>
        <v>100</v>
      </c>
      <c r="K153" s="128"/>
      <c r="L153" s="128"/>
      <c r="M153" s="128"/>
      <c r="N153" s="128"/>
      <c r="O153" s="128"/>
      <c r="P153" s="128"/>
    </row>
    <row r="154" spans="1:16" s="127" customFormat="1">
      <c r="A154" s="164" t="s">
        <v>177</v>
      </c>
      <c r="B154" s="173" t="s">
        <v>178</v>
      </c>
      <c r="C154" s="196">
        <f>'2023'!E154</f>
        <v>4.875</v>
      </c>
      <c r="D154" s="276">
        <f>(F154+'2 кв'!D154)/2</f>
        <v>5</v>
      </c>
      <c r="E154" s="205">
        <f>план!I154</f>
        <v>5</v>
      </c>
      <c r="F154" s="196">
        <v>5</v>
      </c>
      <c r="G154" s="190">
        <f t="shared" si="12"/>
        <v>0</v>
      </c>
      <c r="H154" s="283">
        <f t="shared" si="13"/>
        <v>100</v>
      </c>
      <c r="K154" s="128"/>
      <c r="L154" s="128"/>
      <c r="M154" s="128"/>
      <c r="N154" s="128"/>
      <c r="O154" s="128"/>
      <c r="P154" s="128"/>
    </row>
    <row r="155" spans="1:16" s="127" customFormat="1">
      <c r="A155" s="164" t="s">
        <v>179</v>
      </c>
      <c r="B155" s="173" t="s">
        <v>180</v>
      </c>
      <c r="C155" s="196">
        <f>'2023'!E155</f>
        <v>31</v>
      </c>
      <c r="D155" s="276">
        <f>(F155+'2 кв'!D155)/2</f>
        <v>37.5</v>
      </c>
      <c r="E155" s="205">
        <f>план!I155</f>
        <v>36</v>
      </c>
      <c r="F155" s="196">
        <v>39</v>
      </c>
      <c r="G155" s="190">
        <f t="shared" si="12"/>
        <v>3</v>
      </c>
      <c r="H155" s="283">
        <f t="shared" si="13"/>
        <v>108.33333333333333</v>
      </c>
      <c r="K155" s="128"/>
      <c r="L155" s="128"/>
      <c r="M155" s="128"/>
      <c r="N155" s="128"/>
      <c r="O155" s="128"/>
      <c r="P155" s="128"/>
    </row>
    <row r="156" spans="1:16" s="127" customFormat="1">
      <c r="A156" s="164" t="s">
        <v>181</v>
      </c>
      <c r="B156" s="173" t="s">
        <v>182</v>
      </c>
      <c r="C156" s="196">
        <f>'2023'!E156</f>
        <v>31.5</v>
      </c>
      <c r="D156" s="276">
        <f>(F156+'2 кв'!D156)/2</f>
        <v>32.75</v>
      </c>
      <c r="E156" s="205">
        <f>план!I156</f>
        <v>35</v>
      </c>
      <c r="F156" s="196">
        <f>34-1</f>
        <v>33</v>
      </c>
      <c r="G156" s="190">
        <f t="shared" si="12"/>
        <v>-2</v>
      </c>
      <c r="H156" s="283">
        <f t="shared" si="13"/>
        <v>94.285714285714278</v>
      </c>
      <c r="K156" s="128"/>
      <c r="L156" s="128"/>
      <c r="M156" s="128"/>
      <c r="N156" s="128"/>
      <c r="O156" s="128"/>
      <c r="P156" s="128"/>
    </row>
    <row r="157" spans="1:16" s="127" customFormat="1">
      <c r="A157" s="164" t="s">
        <v>183</v>
      </c>
      <c r="B157" s="173" t="s">
        <v>184</v>
      </c>
      <c r="C157" s="196">
        <f>'2023'!E157</f>
        <v>16.5</v>
      </c>
      <c r="D157" s="276">
        <f>(F157+'2 кв'!D157)/2</f>
        <v>15.5</v>
      </c>
      <c r="E157" s="205">
        <f>план!I157</f>
        <v>22</v>
      </c>
      <c r="F157" s="196">
        <v>15</v>
      </c>
      <c r="G157" s="190">
        <f t="shared" si="12"/>
        <v>-7</v>
      </c>
      <c r="H157" s="283">
        <f t="shared" si="13"/>
        <v>68.181818181818173</v>
      </c>
      <c r="K157" s="128"/>
      <c r="L157" s="128"/>
      <c r="M157" s="128"/>
      <c r="N157" s="128"/>
      <c r="O157" s="128"/>
      <c r="P157" s="128"/>
    </row>
    <row r="158" spans="1:16" s="127" customFormat="1">
      <c r="A158" s="164" t="s">
        <v>185</v>
      </c>
      <c r="B158" s="173" t="s">
        <v>186</v>
      </c>
      <c r="C158" s="196">
        <f>'2023'!E158</f>
        <v>20</v>
      </c>
      <c r="D158" s="276">
        <f>(F158+'2 кв'!D158)/2</f>
        <v>18</v>
      </c>
      <c r="E158" s="205">
        <f>план!I158</f>
        <v>21</v>
      </c>
      <c r="F158" s="196">
        <f>21-3</f>
        <v>18</v>
      </c>
      <c r="G158" s="190">
        <f t="shared" si="12"/>
        <v>-3</v>
      </c>
      <c r="H158" s="283">
        <f t="shared" si="13"/>
        <v>85.714285714285708</v>
      </c>
      <c r="K158" s="128"/>
      <c r="L158" s="128"/>
      <c r="M158" s="128"/>
      <c r="N158" s="128"/>
      <c r="O158" s="128"/>
      <c r="P158" s="128"/>
    </row>
    <row r="159" spans="1:16" s="127" customFormat="1">
      <c r="A159" s="174" t="s">
        <v>187</v>
      </c>
      <c r="B159" s="173" t="s">
        <v>188</v>
      </c>
      <c r="C159" s="203">
        <f>C160+C161+C162+C163+C164+C165</f>
        <v>14145.090543399998</v>
      </c>
      <c r="D159" s="203">
        <f>SUM(D160:D165)</f>
        <v>14186.351709999999</v>
      </c>
      <c r="E159" s="203">
        <f>E160+E161+E162+E163+E164+E165</f>
        <v>6244.8932999999988</v>
      </c>
      <c r="F159" s="203">
        <f>F160+F161+F162+F163+F164+F165</f>
        <v>4843.3817100000006</v>
      </c>
      <c r="G159" s="203">
        <f t="shared" si="12"/>
        <v>-1401.5115899999983</v>
      </c>
      <c r="H159" s="313">
        <f t="shared" si="13"/>
        <v>77.55747740317679</v>
      </c>
      <c r="I159" s="345"/>
      <c r="J159" s="345"/>
      <c r="K159" s="128"/>
      <c r="L159" s="128"/>
      <c r="M159" s="128"/>
      <c r="N159" s="128"/>
      <c r="O159" s="128"/>
      <c r="P159" s="128"/>
    </row>
    <row r="160" spans="1:16" s="127" customFormat="1">
      <c r="A160" s="164" t="s">
        <v>175</v>
      </c>
      <c r="B160" s="173" t="s">
        <v>189</v>
      </c>
      <c r="C160" s="198">
        <f>'2023'!E160</f>
        <v>560.74768499999993</v>
      </c>
      <c r="D160" s="302">
        <f>F160+'2 кв'!D160</f>
        <v>557.22280000000001</v>
      </c>
      <c r="E160" s="205">
        <f>план!I160</f>
        <v>186.82469999999998</v>
      </c>
      <c r="F160" s="204">
        <f>F167*1.22</f>
        <v>184.5128</v>
      </c>
      <c r="G160" s="194">
        <f t="shared" si="12"/>
        <v>-2.3118999999999801</v>
      </c>
      <c r="H160" s="314">
        <f t="shared" si="13"/>
        <v>98.762529793972647</v>
      </c>
      <c r="K160" s="128"/>
      <c r="L160" s="128"/>
      <c r="M160" s="128"/>
      <c r="N160" s="128"/>
      <c r="O160" s="128"/>
      <c r="P160" s="128"/>
    </row>
    <row r="161" spans="1:16" s="127" customFormat="1">
      <c r="A161" s="164" t="s">
        <v>177</v>
      </c>
      <c r="B161" s="173" t="s">
        <v>190</v>
      </c>
      <c r="C161" s="198">
        <f>'2023'!E161</f>
        <v>887.74379700000009</v>
      </c>
      <c r="D161" s="302">
        <f>F161+'2 кв'!D161</f>
        <v>1018.6267999999999</v>
      </c>
      <c r="E161" s="205">
        <f>план!I161</f>
        <v>325.19100000000003</v>
      </c>
      <c r="F161" s="204">
        <f>F168*1.22</f>
        <v>324.08079999999995</v>
      </c>
      <c r="G161" s="194">
        <f t="shared" si="12"/>
        <v>-1.1102000000000771</v>
      </c>
      <c r="H161" s="314">
        <f t="shared" si="13"/>
        <v>99.658600637779003</v>
      </c>
      <c r="J161" s="128"/>
      <c r="K161" s="128"/>
      <c r="L161" s="128"/>
      <c r="M161" s="128"/>
      <c r="N161" s="128"/>
      <c r="O161" s="128"/>
      <c r="P161" s="128"/>
    </row>
    <row r="162" spans="1:16" s="127" customFormat="1">
      <c r="A162" s="164" t="s">
        <v>179</v>
      </c>
      <c r="B162" s="173" t="s">
        <v>191</v>
      </c>
      <c r="C162" s="198">
        <f>'2023'!E162</f>
        <v>5887.6705560000009</v>
      </c>
      <c r="D162" s="302">
        <f>F162+'2 кв'!D162</f>
        <v>5826.3717099999994</v>
      </c>
      <c r="E162" s="205">
        <f>план!I162</f>
        <v>2635.2</v>
      </c>
      <c r="F162" s="204">
        <f>F169*1.22+(80.17+2553.94)/1000+0.92</f>
        <v>2053.61771</v>
      </c>
      <c r="G162" s="203">
        <f t="shared" si="12"/>
        <v>-581.58228999999983</v>
      </c>
      <c r="H162" s="314">
        <f t="shared" si="13"/>
        <v>77.930240968427441</v>
      </c>
      <c r="J162" s="128"/>
      <c r="K162" s="128"/>
      <c r="L162" s="128"/>
      <c r="M162" s="128"/>
      <c r="N162" s="128"/>
      <c r="O162" s="128"/>
      <c r="P162" s="128"/>
    </row>
    <row r="163" spans="1:16" s="127" customFormat="1">
      <c r="A163" s="164" t="s">
        <v>181</v>
      </c>
      <c r="B163" s="173" t="s">
        <v>192</v>
      </c>
      <c r="C163" s="198">
        <f>'2023'!E163</f>
        <v>3928.9479173999998</v>
      </c>
      <c r="D163" s="302">
        <f>F163+'2 кв'!D163</f>
        <v>3803.3328000000001</v>
      </c>
      <c r="E163" s="205">
        <f>план!I163</f>
        <v>1729.35</v>
      </c>
      <c r="F163" s="204">
        <f>F170*1.22+3.22+0.9</f>
        <v>1277.3608000000002</v>
      </c>
      <c r="G163" s="203">
        <f t="shared" si="12"/>
        <v>-451.98919999999976</v>
      </c>
      <c r="H163" s="314">
        <f t="shared" si="13"/>
        <v>73.863636626478169</v>
      </c>
      <c r="J163" s="128"/>
      <c r="K163" s="128"/>
      <c r="L163" s="128"/>
      <c r="M163" s="128"/>
      <c r="N163" s="128"/>
      <c r="O163" s="128"/>
      <c r="P163" s="128"/>
    </row>
    <row r="164" spans="1:16" s="127" customFormat="1">
      <c r="A164" s="164" t="s">
        <v>183</v>
      </c>
      <c r="B164" s="173" t="s">
        <v>193</v>
      </c>
      <c r="C164" s="198">
        <f>'2023'!E164</f>
        <v>1156.3762473999998</v>
      </c>
      <c r="D164" s="302">
        <f>F164+'2 кв'!D164</f>
        <v>1372.1145999999999</v>
      </c>
      <c r="E164" s="205">
        <f>план!I164</f>
        <v>647.38080000000002</v>
      </c>
      <c r="F164" s="204">
        <f>F171*1.22+2+0.89</f>
        <v>475.18859999999995</v>
      </c>
      <c r="G164" s="203">
        <f t="shared" si="12"/>
        <v>-172.19220000000007</v>
      </c>
      <c r="H164" s="314">
        <f t="shared" si="13"/>
        <v>73.401713489185951</v>
      </c>
      <c r="K164" s="128"/>
      <c r="L164" s="128"/>
      <c r="M164" s="128"/>
      <c r="N164" s="128"/>
      <c r="O164" s="128"/>
      <c r="P164" s="128"/>
    </row>
    <row r="165" spans="1:16" s="127" customFormat="1">
      <c r="A165" s="164" t="s">
        <v>185</v>
      </c>
      <c r="B165" s="173" t="s">
        <v>194</v>
      </c>
      <c r="C165" s="198">
        <f>'2023'!E165</f>
        <v>1723.6043405999999</v>
      </c>
      <c r="D165" s="302">
        <f>F165+'2 кв'!D165</f>
        <v>1608.683</v>
      </c>
      <c r="E165" s="205">
        <f>план!I165</f>
        <v>720.94680000000005</v>
      </c>
      <c r="F165" s="204">
        <f>F172*1.22+5.79</f>
        <v>528.62099999999998</v>
      </c>
      <c r="G165" s="203">
        <f t="shared" si="12"/>
        <v>-192.32580000000007</v>
      </c>
      <c r="H165" s="314">
        <f t="shared" si="13"/>
        <v>73.323163373497181</v>
      </c>
      <c r="K165" s="128"/>
      <c r="L165" s="128"/>
      <c r="M165" s="128"/>
      <c r="N165" s="128"/>
      <c r="O165" s="128"/>
      <c r="P165" s="128"/>
    </row>
    <row r="166" spans="1:16" s="127" customFormat="1">
      <c r="A166" s="167" t="s">
        <v>195</v>
      </c>
      <c r="B166" s="173" t="s">
        <v>196</v>
      </c>
      <c r="C166" s="194">
        <f>C167+C168+C169+C170+C171+C172</f>
        <v>11508.588969999999</v>
      </c>
      <c r="D166" s="203">
        <f>SUM(D167:D172)</f>
        <v>11575.08</v>
      </c>
      <c r="E166" s="203">
        <f>E167+E168+E169+E170+E171+E172</f>
        <v>5118.7649999999994</v>
      </c>
      <c r="F166" s="203">
        <f>F167+F168+F169+F170+F171+F172</f>
        <v>3956.5800000000008</v>
      </c>
      <c r="G166" s="203">
        <f t="shared" si="12"/>
        <v>-1162.1849999999986</v>
      </c>
      <c r="H166" s="313">
        <f t="shared" si="13"/>
        <v>77.295597668578282</v>
      </c>
      <c r="J166" s="132"/>
      <c r="K166" s="128"/>
      <c r="L166" s="128"/>
      <c r="M166" s="128"/>
      <c r="N166" s="128"/>
      <c r="O166" s="128"/>
      <c r="P166" s="128"/>
    </row>
    <row r="167" spans="1:16" s="127" customFormat="1">
      <c r="A167" s="164" t="s">
        <v>175</v>
      </c>
      <c r="B167" s="173" t="s">
        <v>197</v>
      </c>
      <c r="C167" s="198">
        <f>'2023'!E167</f>
        <v>459.62924999999996</v>
      </c>
      <c r="D167" s="302">
        <f>F167+'2 кв'!D167</f>
        <v>456.74</v>
      </c>
      <c r="E167" s="205">
        <f>план!I167</f>
        <v>153.13499999999999</v>
      </c>
      <c r="F167" s="204">
        <v>151.24</v>
      </c>
      <c r="G167" s="203">
        <f t="shared" si="12"/>
        <v>-1.8949999999999818</v>
      </c>
      <c r="H167" s="314">
        <f t="shared" si="13"/>
        <v>98.762529793972647</v>
      </c>
      <c r="J167" s="128"/>
      <c r="K167" s="128"/>
      <c r="L167" s="128"/>
      <c r="M167" s="128"/>
      <c r="N167" s="128"/>
      <c r="O167" s="128"/>
      <c r="P167" s="128"/>
    </row>
    <row r="168" spans="1:16" s="127" customFormat="1">
      <c r="A168" s="164" t="s">
        <v>177</v>
      </c>
      <c r="B168" s="173" t="s">
        <v>198</v>
      </c>
      <c r="C168" s="198">
        <f>'2023'!E168</f>
        <v>727.65885000000003</v>
      </c>
      <c r="D168" s="302">
        <f>F168+'2 кв'!D168</f>
        <v>834.93999999999994</v>
      </c>
      <c r="E168" s="205">
        <f>план!I168</f>
        <v>266.55</v>
      </c>
      <c r="F168" s="204">
        <f>315.64-50</f>
        <v>265.64</v>
      </c>
      <c r="G168" s="203">
        <f t="shared" si="12"/>
        <v>-0.91000000000002501</v>
      </c>
      <c r="H168" s="314">
        <f t="shared" si="13"/>
        <v>99.658600637779017</v>
      </c>
      <c r="J168" s="128"/>
      <c r="K168" s="128"/>
      <c r="L168" s="128"/>
      <c r="M168" s="128"/>
      <c r="N168" s="128"/>
      <c r="O168" s="128"/>
      <c r="P168" s="128"/>
    </row>
    <row r="169" spans="1:16" s="127" customFormat="1">
      <c r="A169" s="164" t="s">
        <v>179</v>
      </c>
      <c r="B169" s="173" t="s">
        <v>199</v>
      </c>
      <c r="C169" s="198">
        <f>'2023'!E169</f>
        <v>4806.7397999999994</v>
      </c>
      <c r="D169" s="302">
        <f>F169+'2 кв'!D169</f>
        <v>4751.08</v>
      </c>
      <c r="E169" s="205">
        <f>план!I169</f>
        <v>2160</v>
      </c>
      <c r="F169" s="204">
        <f>1630.38+50</f>
        <v>1680.38</v>
      </c>
      <c r="G169" s="203">
        <f t="shared" si="12"/>
        <v>-479.61999999999989</v>
      </c>
      <c r="H169" s="314">
        <f t="shared" si="13"/>
        <v>77.795370370370378</v>
      </c>
      <c r="J169" s="128"/>
      <c r="K169" s="128"/>
      <c r="L169" s="128"/>
      <c r="M169" s="128"/>
      <c r="N169" s="128"/>
      <c r="O169" s="128"/>
      <c r="P169" s="128"/>
    </row>
    <row r="170" spans="1:16" s="127" customFormat="1">
      <c r="A170" s="164" t="s">
        <v>181</v>
      </c>
      <c r="B170" s="173" t="s">
        <v>200</v>
      </c>
      <c r="C170" s="198">
        <f>'2023'!E170</f>
        <v>3210.8556699999999</v>
      </c>
      <c r="D170" s="302">
        <f>F170+'2 кв'!D170</f>
        <v>3111.24</v>
      </c>
      <c r="E170" s="205">
        <f>план!I170</f>
        <v>1417.5</v>
      </c>
      <c r="F170" s="204">
        <v>1043.6400000000001</v>
      </c>
      <c r="G170" s="203">
        <f t="shared" si="12"/>
        <v>-373.8599999999999</v>
      </c>
      <c r="H170" s="314">
        <f t="shared" si="13"/>
        <v>73.625396825396834</v>
      </c>
      <c r="J170" s="128"/>
      <c r="K170" s="128"/>
      <c r="L170" s="128"/>
      <c r="M170" s="128"/>
      <c r="N170" s="128"/>
      <c r="O170" s="128"/>
      <c r="P170" s="128"/>
    </row>
    <row r="171" spans="1:16" s="127" customFormat="1">
      <c r="A171" s="164" t="s">
        <v>183</v>
      </c>
      <c r="B171" s="173" t="s">
        <v>201</v>
      </c>
      <c r="C171" s="198">
        <f>'2023'!E171</f>
        <v>919.38216999999997</v>
      </c>
      <c r="D171" s="302">
        <f>F171+'2 кв'!D171</f>
        <v>1115.4299999999998</v>
      </c>
      <c r="E171" s="205">
        <f>план!I171</f>
        <v>530.64</v>
      </c>
      <c r="F171" s="204">
        <v>387.13</v>
      </c>
      <c r="G171" s="203">
        <f t="shared" si="12"/>
        <v>-143.51</v>
      </c>
      <c r="H171" s="314">
        <f t="shared" si="13"/>
        <v>72.955299261269417</v>
      </c>
      <c r="K171" s="128"/>
      <c r="L171" s="128"/>
      <c r="M171" s="128"/>
      <c r="N171" s="128"/>
      <c r="O171" s="128"/>
      <c r="P171" s="128"/>
    </row>
    <row r="172" spans="1:16" s="127" customFormat="1">
      <c r="A172" s="164" t="s">
        <v>185</v>
      </c>
      <c r="B172" s="173" t="s">
        <v>202</v>
      </c>
      <c r="C172" s="198">
        <f>'2023'!E172</f>
        <v>1384.32323</v>
      </c>
      <c r="D172" s="302">
        <f>F172+'2 кв'!D172</f>
        <v>1305.6499999999999</v>
      </c>
      <c r="E172" s="205">
        <f>план!I172</f>
        <v>590.94000000000005</v>
      </c>
      <c r="F172" s="204">
        <v>428.55</v>
      </c>
      <c r="G172" s="203">
        <f t="shared" si="12"/>
        <v>-162.39000000000004</v>
      </c>
      <c r="H172" s="314">
        <f t="shared" si="13"/>
        <v>72.520052797238293</v>
      </c>
      <c r="K172" s="128"/>
      <c r="L172" s="128"/>
      <c r="M172" s="128"/>
      <c r="N172" s="128"/>
      <c r="O172" s="128"/>
      <c r="P172" s="128"/>
    </row>
    <row r="173" spans="1:16" s="127" customFormat="1" ht="31.5">
      <c r="A173" s="167" t="s">
        <v>203</v>
      </c>
      <c r="B173" s="173" t="s">
        <v>204</v>
      </c>
      <c r="C173" s="194">
        <f>C166/C152/9*1000</f>
        <v>12192.916403125413</v>
      </c>
      <c r="D173" s="203">
        <f>D166/D152/9*1000</f>
        <v>11718.633257403189</v>
      </c>
      <c r="E173" s="203">
        <f>E166/E152/3*1000</f>
        <v>14218.791666666666</v>
      </c>
      <c r="F173" s="203">
        <f>F166/F152/3*1000</f>
        <v>11881.621621621623</v>
      </c>
      <c r="G173" s="203">
        <f t="shared" si="12"/>
        <v>-2337.1700450450426</v>
      </c>
      <c r="H173" s="313">
        <f t="shared" si="13"/>
        <v>83.562808290354894</v>
      </c>
      <c r="K173" s="128"/>
      <c r="L173" s="128"/>
      <c r="M173" s="128"/>
      <c r="N173" s="128"/>
      <c r="O173" s="128"/>
      <c r="P173" s="128"/>
    </row>
    <row r="174" spans="1:16" s="127" customFormat="1">
      <c r="A174" s="164" t="s">
        <v>175</v>
      </c>
      <c r="B174" s="173" t="s">
        <v>205</v>
      </c>
      <c r="C174" s="343">
        <f t="shared" ref="C174:D179" si="14">C167/C153/9*1000</f>
        <v>51069.916666666664</v>
      </c>
      <c r="D174" s="204">
        <f t="shared" si="14"/>
        <v>50748.888888888891</v>
      </c>
      <c r="E174" s="204">
        <f t="shared" ref="E174:F179" si="15">E167/E153/3*1000</f>
        <v>51044.999999999993</v>
      </c>
      <c r="F174" s="204">
        <f>F167/F153/3*1000</f>
        <v>50413.333333333336</v>
      </c>
      <c r="G174" s="204">
        <f t="shared" si="12"/>
        <v>-631.66666666665697</v>
      </c>
      <c r="H174" s="314">
        <f t="shared" si="13"/>
        <v>98.762529793972647</v>
      </c>
      <c r="K174" s="128"/>
      <c r="L174" s="128"/>
      <c r="M174" s="128"/>
      <c r="N174" s="128"/>
      <c r="O174" s="128"/>
      <c r="P174" s="128"/>
    </row>
    <row r="175" spans="1:16" s="127" customFormat="1">
      <c r="A175" s="164" t="s">
        <v>177</v>
      </c>
      <c r="B175" s="173" t="s">
        <v>206</v>
      </c>
      <c r="C175" s="343">
        <f t="shared" si="14"/>
        <v>16584.817094017093</v>
      </c>
      <c r="D175" s="204">
        <f t="shared" si="14"/>
        <v>18554.222222222223</v>
      </c>
      <c r="E175" s="204">
        <f t="shared" si="15"/>
        <v>17770</v>
      </c>
      <c r="F175" s="204">
        <f t="shared" si="15"/>
        <v>17709.333333333332</v>
      </c>
      <c r="G175" s="204">
        <f t="shared" si="12"/>
        <v>-60.666666666667879</v>
      </c>
      <c r="H175" s="314">
        <f t="shared" si="13"/>
        <v>99.658600637779031</v>
      </c>
      <c r="K175" s="128"/>
      <c r="L175" s="128"/>
      <c r="M175" s="128"/>
      <c r="N175" s="128"/>
      <c r="O175" s="128"/>
      <c r="P175" s="128"/>
    </row>
    <row r="176" spans="1:16" s="127" customFormat="1">
      <c r="A176" s="164" t="s">
        <v>179</v>
      </c>
      <c r="B176" s="173" t="s">
        <v>207</v>
      </c>
      <c r="C176" s="343">
        <f t="shared" si="14"/>
        <v>17228.458064516126</v>
      </c>
      <c r="D176" s="204">
        <f t="shared" si="14"/>
        <v>14077.274074074074</v>
      </c>
      <c r="E176" s="204">
        <f t="shared" si="15"/>
        <v>20000</v>
      </c>
      <c r="F176" s="204">
        <f>F169/F155/3*1000</f>
        <v>14362.222222222223</v>
      </c>
      <c r="G176" s="204">
        <f t="shared" si="12"/>
        <v>-5637.7777777777774</v>
      </c>
      <c r="H176" s="314">
        <f t="shared" si="13"/>
        <v>71.811111111111117</v>
      </c>
      <c r="K176" s="128"/>
      <c r="L176" s="128"/>
      <c r="M176" s="128"/>
      <c r="N176" s="128"/>
      <c r="O176" s="128"/>
      <c r="P176" s="128"/>
    </row>
    <row r="177" spans="1:16" s="127" customFormat="1">
      <c r="A177" s="164" t="s">
        <v>181</v>
      </c>
      <c r="B177" s="173" t="s">
        <v>208</v>
      </c>
      <c r="C177" s="343">
        <f t="shared" si="14"/>
        <v>11325.769559082893</v>
      </c>
      <c r="D177" s="204">
        <f t="shared" si="14"/>
        <v>10555.521628498727</v>
      </c>
      <c r="E177" s="204">
        <f t="shared" si="15"/>
        <v>13500</v>
      </c>
      <c r="F177" s="204">
        <f t="shared" si="15"/>
        <v>10541.818181818182</v>
      </c>
      <c r="G177" s="204">
        <f t="shared" si="12"/>
        <v>-2958.181818181818</v>
      </c>
      <c r="H177" s="314">
        <f t="shared" si="13"/>
        <v>78.08754208754209</v>
      </c>
      <c r="K177" s="128"/>
      <c r="L177" s="128"/>
      <c r="M177" s="128"/>
      <c r="N177" s="128"/>
      <c r="O177" s="128"/>
      <c r="P177" s="128"/>
    </row>
    <row r="178" spans="1:16" s="127" customFormat="1">
      <c r="A178" s="164" t="s">
        <v>183</v>
      </c>
      <c r="B178" s="173" t="s">
        <v>209</v>
      </c>
      <c r="C178" s="343">
        <f t="shared" si="14"/>
        <v>6191.125723905724</v>
      </c>
      <c r="D178" s="204">
        <f t="shared" si="14"/>
        <v>7995.9139784946228</v>
      </c>
      <c r="E178" s="204">
        <f t="shared" si="15"/>
        <v>8040.0000000000009</v>
      </c>
      <c r="F178" s="204">
        <f t="shared" si="15"/>
        <v>8602.8888888888905</v>
      </c>
      <c r="G178" s="204">
        <f t="shared" si="12"/>
        <v>562.8888888888896</v>
      </c>
      <c r="H178" s="314">
        <f t="shared" si="13"/>
        <v>107.00110558319513</v>
      </c>
      <c r="K178" s="128"/>
      <c r="L178" s="128"/>
      <c r="M178" s="128"/>
      <c r="N178" s="128"/>
      <c r="O178" s="128"/>
      <c r="P178" s="128"/>
    </row>
    <row r="179" spans="1:16" s="127" customFormat="1">
      <c r="A179" s="164" t="s">
        <v>185</v>
      </c>
      <c r="B179" s="173" t="s">
        <v>210</v>
      </c>
      <c r="C179" s="343">
        <f t="shared" si="14"/>
        <v>7690.6846111111108</v>
      </c>
      <c r="D179" s="204">
        <f t="shared" si="14"/>
        <v>8059.5679012345654</v>
      </c>
      <c r="E179" s="204">
        <f t="shared" si="15"/>
        <v>9380</v>
      </c>
      <c r="F179" s="204">
        <f t="shared" si="15"/>
        <v>7936.1111111111113</v>
      </c>
      <c r="G179" s="204">
        <f t="shared" si="12"/>
        <v>-1443.8888888888887</v>
      </c>
      <c r="H179" s="314">
        <f t="shared" si="13"/>
        <v>84.60672826344468</v>
      </c>
      <c r="K179" s="128"/>
      <c r="L179" s="128"/>
      <c r="M179" s="128"/>
      <c r="N179" s="128"/>
      <c r="O179" s="128"/>
      <c r="P179" s="128"/>
    </row>
    <row r="180" spans="1:16" s="127" customFormat="1" ht="31.5">
      <c r="A180" s="164" t="s">
        <v>211</v>
      </c>
      <c r="B180" s="173" t="s">
        <v>212</v>
      </c>
      <c r="C180" s="198"/>
      <c r="D180" s="198"/>
      <c r="E180" s="193"/>
      <c r="F180" s="205"/>
      <c r="G180" s="203">
        <f t="shared" si="12"/>
        <v>0</v>
      </c>
      <c r="H180" s="314"/>
      <c r="K180" s="128"/>
      <c r="L180" s="128"/>
      <c r="M180" s="128"/>
      <c r="N180" s="128"/>
      <c r="O180" s="128"/>
      <c r="P180" s="128"/>
    </row>
    <row r="181" spans="1:16" s="127" customFormat="1" ht="20.100000000000001" customHeight="1">
      <c r="A181" s="133"/>
      <c r="B181" s="134"/>
      <c r="C181" s="135"/>
      <c r="D181" s="135"/>
      <c r="E181" s="136"/>
      <c r="F181" s="136"/>
      <c r="G181" s="136"/>
      <c r="H181" s="137"/>
    </row>
    <row r="182" spans="1:16" s="127" customFormat="1" ht="42.6" customHeight="1">
      <c r="A182" s="138" t="s">
        <v>252</v>
      </c>
      <c r="B182" s="407" t="s">
        <v>249</v>
      </c>
      <c r="C182" s="407"/>
      <c r="D182" s="407"/>
      <c r="E182" s="407"/>
      <c r="F182" s="407"/>
      <c r="G182" s="407"/>
      <c r="H182" s="407"/>
    </row>
    <row r="183" spans="1:16" ht="18.75" customHeight="1">
      <c r="A183" s="138"/>
      <c r="C183" s="427"/>
      <c r="D183" s="427"/>
      <c r="E183" s="427"/>
      <c r="F183" s="427"/>
      <c r="G183" s="408"/>
      <c r="H183" s="408"/>
    </row>
    <row r="184" spans="1:16" s="139" customFormat="1" ht="20.100000000000001" customHeight="1">
      <c r="A184" s="110"/>
      <c r="B184" s="104"/>
      <c r="C184" s="408"/>
      <c r="D184" s="408"/>
      <c r="E184" s="408"/>
      <c r="F184" s="408"/>
      <c r="G184" s="408"/>
      <c r="H184" s="408"/>
      <c r="I184" s="111"/>
    </row>
    <row r="185" spans="1:16">
      <c r="A185" s="140"/>
    </row>
    <row r="186" spans="1:16">
      <c r="A186" s="140"/>
    </row>
    <row r="187" spans="1:16">
      <c r="A187" s="140"/>
    </row>
    <row r="188" spans="1:16">
      <c r="A188" s="140"/>
    </row>
    <row r="189" spans="1:16">
      <c r="A189" s="140"/>
    </row>
    <row r="190" spans="1:16">
      <c r="A190" s="140"/>
    </row>
    <row r="191" spans="1:16">
      <c r="A191" s="140"/>
    </row>
    <row r="192" spans="1:16">
      <c r="A192" s="140"/>
    </row>
    <row r="193" spans="1:1">
      <c r="A193" s="140"/>
    </row>
    <row r="194" spans="1:1">
      <c r="A194" s="140"/>
    </row>
    <row r="195" spans="1:1">
      <c r="A195" s="140"/>
    </row>
    <row r="196" spans="1:1">
      <c r="A196" s="140"/>
    </row>
    <row r="197" spans="1:1">
      <c r="A197" s="140"/>
    </row>
    <row r="198" spans="1:1">
      <c r="A198" s="140"/>
    </row>
    <row r="199" spans="1:1">
      <c r="A199" s="140"/>
    </row>
    <row r="200" spans="1:1">
      <c r="A200" s="140"/>
    </row>
    <row r="201" spans="1:1">
      <c r="A201" s="140"/>
    </row>
    <row r="202" spans="1:1">
      <c r="A202" s="140"/>
    </row>
    <row r="203" spans="1:1">
      <c r="A203" s="140"/>
    </row>
    <row r="204" spans="1:1">
      <c r="A204" s="140"/>
    </row>
    <row r="205" spans="1:1">
      <c r="A205" s="140"/>
    </row>
    <row r="206" spans="1:1">
      <c r="A206" s="140"/>
    </row>
    <row r="207" spans="1:1">
      <c r="A207" s="140"/>
    </row>
    <row r="208" spans="1:1">
      <c r="A208" s="140"/>
    </row>
    <row r="209" spans="1:1">
      <c r="A209" s="140"/>
    </row>
    <row r="210" spans="1:1">
      <c r="A210" s="140"/>
    </row>
    <row r="211" spans="1:1">
      <c r="A211" s="140"/>
    </row>
    <row r="212" spans="1:1">
      <c r="A212" s="140"/>
    </row>
    <row r="213" spans="1:1">
      <c r="A213" s="140"/>
    </row>
    <row r="214" spans="1:1">
      <c r="A214" s="140"/>
    </row>
    <row r="215" spans="1:1">
      <c r="A215" s="140"/>
    </row>
    <row r="216" spans="1:1">
      <c r="A216" s="140"/>
    </row>
    <row r="217" spans="1:1">
      <c r="A217" s="140"/>
    </row>
    <row r="218" spans="1:1">
      <c r="A218" s="140"/>
    </row>
    <row r="219" spans="1:1">
      <c r="A219" s="140"/>
    </row>
    <row r="220" spans="1:1">
      <c r="A220" s="140"/>
    </row>
    <row r="221" spans="1:1">
      <c r="A221" s="140"/>
    </row>
    <row r="222" spans="1:1">
      <c r="A222" s="140"/>
    </row>
    <row r="223" spans="1:1">
      <c r="A223" s="140"/>
    </row>
    <row r="224" spans="1:1">
      <c r="A224" s="140"/>
    </row>
    <row r="225" spans="1:1">
      <c r="A225" s="140"/>
    </row>
    <row r="226" spans="1:1">
      <c r="A226" s="140"/>
    </row>
    <row r="227" spans="1:1">
      <c r="A227" s="140"/>
    </row>
    <row r="228" spans="1:1">
      <c r="A228" s="140"/>
    </row>
    <row r="229" spans="1:1">
      <c r="A229" s="140"/>
    </row>
    <row r="230" spans="1:1">
      <c r="A230" s="140"/>
    </row>
    <row r="231" spans="1:1">
      <c r="A231" s="140"/>
    </row>
    <row r="232" spans="1:1">
      <c r="A232" s="140"/>
    </row>
    <row r="233" spans="1:1">
      <c r="A233" s="140"/>
    </row>
    <row r="234" spans="1:1">
      <c r="A234" s="140"/>
    </row>
    <row r="235" spans="1:1">
      <c r="A235" s="140"/>
    </row>
    <row r="236" spans="1:1">
      <c r="A236" s="140"/>
    </row>
    <row r="237" spans="1:1">
      <c r="A237" s="140"/>
    </row>
    <row r="238" spans="1:1">
      <c r="A238" s="140"/>
    </row>
    <row r="239" spans="1:1">
      <c r="A239" s="140"/>
    </row>
    <row r="240" spans="1:1">
      <c r="A240" s="140"/>
    </row>
    <row r="241" spans="1:1">
      <c r="A241" s="140"/>
    </row>
    <row r="242" spans="1:1">
      <c r="A242" s="140"/>
    </row>
    <row r="243" spans="1:1">
      <c r="A243" s="140"/>
    </row>
    <row r="244" spans="1:1">
      <c r="A244" s="140"/>
    </row>
    <row r="245" spans="1:1">
      <c r="A245" s="140"/>
    </row>
    <row r="246" spans="1:1">
      <c r="A246" s="140"/>
    </row>
    <row r="247" spans="1:1">
      <c r="A247" s="140"/>
    </row>
    <row r="248" spans="1:1">
      <c r="A248" s="140"/>
    </row>
    <row r="249" spans="1:1">
      <c r="A249" s="140"/>
    </row>
    <row r="250" spans="1:1">
      <c r="A250" s="140"/>
    </row>
    <row r="251" spans="1:1">
      <c r="A251" s="140"/>
    </row>
    <row r="252" spans="1:1">
      <c r="A252" s="140"/>
    </row>
    <row r="253" spans="1:1">
      <c r="A253" s="140"/>
    </row>
    <row r="254" spans="1:1">
      <c r="A254" s="140"/>
    </row>
    <row r="255" spans="1:1">
      <c r="A255" s="140"/>
    </row>
    <row r="256" spans="1:1">
      <c r="A256" s="140"/>
    </row>
    <row r="257" spans="1:1">
      <c r="A257" s="140"/>
    </row>
    <row r="258" spans="1:1">
      <c r="A258" s="140"/>
    </row>
    <row r="259" spans="1:1">
      <c r="A259" s="140"/>
    </row>
    <row r="260" spans="1:1">
      <c r="A260" s="140"/>
    </row>
    <row r="261" spans="1:1">
      <c r="A261" s="140"/>
    </row>
    <row r="262" spans="1:1">
      <c r="A262" s="140"/>
    </row>
    <row r="263" spans="1:1">
      <c r="A263" s="140"/>
    </row>
    <row r="264" spans="1:1">
      <c r="A264" s="140"/>
    </row>
    <row r="265" spans="1:1">
      <c r="A265" s="140"/>
    </row>
    <row r="266" spans="1:1">
      <c r="A266" s="140"/>
    </row>
    <row r="267" spans="1:1">
      <c r="A267" s="140"/>
    </row>
    <row r="268" spans="1:1">
      <c r="A268" s="140"/>
    </row>
    <row r="269" spans="1:1">
      <c r="A269" s="140"/>
    </row>
    <row r="270" spans="1:1">
      <c r="A270" s="140"/>
    </row>
    <row r="271" spans="1:1">
      <c r="A271" s="140"/>
    </row>
    <row r="272" spans="1:1">
      <c r="A272" s="140"/>
    </row>
    <row r="273" spans="1:1">
      <c r="A273" s="140"/>
    </row>
    <row r="274" spans="1:1">
      <c r="A274" s="140"/>
    </row>
    <row r="275" spans="1:1">
      <c r="A275" s="140"/>
    </row>
    <row r="276" spans="1:1">
      <c r="A276" s="140"/>
    </row>
    <row r="277" spans="1:1">
      <c r="A277" s="140"/>
    </row>
    <row r="278" spans="1:1">
      <c r="A278" s="140"/>
    </row>
    <row r="279" spans="1:1">
      <c r="A279" s="140"/>
    </row>
    <row r="280" spans="1:1">
      <c r="A280" s="140"/>
    </row>
    <row r="281" spans="1:1">
      <c r="A281" s="140"/>
    </row>
    <row r="282" spans="1:1">
      <c r="A282" s="140"/>
    </row>
    <row r="283" spans="1:1">
      <c r="A283" s="140"/>
    </row>
    <row r="284" spans="1:1">
      <c r="A284" s="140"/>
    </row>
    <row r="285" spans="1:1">
      <c r="A285" s="140"/>
    </row>
    <row r="286" spans="1:1">
      <c r="A286" s="140"/>
    </row>
    <row r="287" spans="1:1">
      <c r="A287" s="140"/>
    </row>
    <row r="288" spans="1:1">
      <c r="A288" s="140"/>
    </row>
    <row r="289" spans="1:1">
      <c r="A289" s="140"/>
    </row>
    <row r="290" spans="1:1">
      <c r="A290" s="140"/>
    </row>
    <row r="291" spans="1:1">
      <c r="A291" s="140"/>
    </row>
    <row r="292" spans="1:1">
      <c r="A292" s="140"/>
    </row>
    <row r="293" spans="1:1">
      <c r="A293" s="140"/>
    </row>
    <row r="294" spans="1:1">
      <c r="A294" s="140"/>
    </row>
    <row r="295" spans="1:1">
      <c r="A295" s="140"/>
    </row>
    <row r="296" spans="1:1">
      <c r="A296" s="140"/>
    </row>
    <row r="297" spans="1:1">
      <c r="A297" s="140"/>
    </row>
    <row r="298" spans="1:1">
      <c r="A298" s="140"/>
    </row>
    <row r="299" spans="1:1">
      <c r="A299" s="140"/>
    </row>
    <row r="300" spans="1:1">
      <c r="A300" s="140"/>
    </row>
    <row r="301" spans="1:1">
      <c r="A301" s="140"/>
    </row>
    <row r="302" spans="1:1">
      <c r="A302" s="140"/>
    </row>
    <row r="303" spans="1:1">
      <c r="A303" s="140"/>
    </row>
    <row r="304" spans="1:1">
      <c r="A304" s="140"/>
    </row>
    <row r="305" spans="1:1">
      <c r="A305" s="140"/>
    </row>
    <row r="306" spans="1:1">
      <c r="A306" s="140"/>
    </row>
    <row r="307" spans="1:1">
      <c r="A307" s="140"/>
    </row>
    <row r="308" spans="1:1">
      <c r="A308" s="140"/>
    </row>
    <row r="309" spans="1:1">
      <c r="A309" s="140"/>
    </row>
    <row r="310" spans="1:1">
      <c r="A310" s="140"/>
    </row>
    <row r="311" spans="1:1">
      <c r="A311" s="140"/>
    </row>
    <row r="312" spans="1:1">
      <c r="A312" s="140"/>
    </row>
    <row r="313" spans="1:1">
      <c r="A313" s="140"/>
    </row>
    <row r="314" spans="1:1">
      <c r="A314" s="140"/>
    </row>
    <row r="315" spans="1:1">
      <c r="A315" s="140"/>
    </row>
    <row r="316" spans="1:1">
      <c r="A316" s="140"/>
    </row>
    <row r="317" spans="1:1">
      <c r="A317" s="140"/>
    </row>
    <row r="318" spans="1:1">
      <c r="A318" s="140"/>
    </row>
    <row r="319" spans="1:1">
      <c r="A319" s="140"/>
    </row>
    <row r="320" spans="1:1">
      <c r="A320" s="140"/>
    </row>
    <row r="321" spans="1:1">
      <c r="A321" s="140"/>
    </row>
    <row r="322" spans="1:1">
      <c r="A322" s="140"/>
    </row>
    <row r="323" spans="1:1">
      <c r="A323" s="140"/>
    </row>
    <row r="324" spans="1:1">
      <c r="A324" s="140"/>
    </row>
    <row r="325" spans="1:1">
      <c r="A325" s="140"/>
    </row>
    <row r="326" spans="1:1">
      <c r="A326" s="140"/>
    </row>
    <row r="327" spans="1:1">
      <c r="A327" s="140"/>
    </row>
    <row r="328" spans="1:1">
      <c r="A328" s="140"/>
    </row>
    <row r="329" spans="1:1">
      <c r="A329" s="140"/>
    </row>
    <row r="330" spans="1:1">
      <c r="A330" s="140"/>
    </row>
    <row r="331" spans="1:1">
      <c r="A331" s="140"/>
    </row>
    <row r="332" spans="1:1">
      <c r="A332" s="140"/>
    </row>
    <row r="333" spans="1:1">
      <c r="A333" s="140"/>
    </row>
    <row r="334" spans="1:1">
      <c r="A334" s="140"/>
    </row>
    <row r="335" spans="1:1">
      <c r="A335" s="140"/>
    </row>
    <row r="336" spans="1:1">
      <c r="A336" s="140"/>
    </row>
    <row r="337" spans="1:1">
      <c r="A337" s="140"/>
    </row>
    <row r="338" spans="1:1">
      <c r="A338" s="140"/>
    </row>
    <row r="339" spans="1:1">
      <c r="A339" s="140"/>
    </row>
    <row r="340" spans="1:1">
      <c r="A340" s="140"/>
    </row>
    <row r="341" spans="1:1">
      <c r="A341" s="140"/>
    </row>
    <row r="342" spans="1:1">
      <c r="A342" s="140"/>
    </row>
    <row r="343" spans="1:1">
      <c r="A343" s="141"/>
    </row>
    <row r="344" spans="1:1">
      <c r="A344" s="141"/>
    </row>
    <row r="345" spans="1:1">
      <c r="A345" s="141"/>
    </row>
    <row r="346" spans="1:1">
      <c r="A346" s="141"/>
    </row>
    <row r="347" spans="1:1">
      <c r="A347" s="141"/>
    </row>
    <row r="348" spans="1:1">
      <c r="A348" s="141"/>
    </row>
    <row r="349" spans="1:1">
      <c r="A349" s="141"/>
    </row>
    <row r="350" spans="1:1">
      <c r="A350" s="141"/>
    </row>
    <row r="351" spans="1:1">
      <c r="A351" s="141"/>
    </row>
    <row r="352" spans="1:1">
      <c r="A352" s="141"/>
    </row>
    <row r="353" spans="1:1">
      <c r="A353" s="141"/>
    </row>
    <row r="354" spans="1:1">
      <c r="A354" s="141"/>
    </row>
    <row r="355" spans="1:1">
      <c r="A355" s="141"/>
    </row>
    <row r="356" spans="1:1">
      <c r="A356" s="141"/>
    </row>
    <row r="357" spans="1:1">
      <c r="A357" s="141"/>
    </row>
    <row r="358" spans="1:1">
      <c r="A358" s="141"/>
    </row>
    <row r="359" spans="1:1">
      <c r="A359" s="141"/>
    </row>
    <row r="360" spans="1:1">
      <c r="A360" s="141"/>
    </row>
    <row r="361" spans="1:1">
      <c r="A361" s="141"/>
    </row>
    <row r="362" spans="1:1">
      <c r="A362" s="141"/>
    </row>
    <row r="363" spans="1:1">
      <c r="A363" s="141"/>
    </row>
    <row r="364" spans="1:1">
      <c r="A364" s="141"/>
    </row>
    <row r="365" spans="1:1">
      <c r="A365" s="141"/>
    </row>
    <row r="366" spans="1:1">
      <c r="A366" s="141"/>
    </row>
    <row r="367" spans="1:1">
      <c r="A367" s="141"/>
    </row>
    <row r="368" spans="1:1">
      <c r="A368" s="141"/>
    </row>
    <row r="369" spans="1:1">
      <c r="A369" s="141"/>
    </row>
    <row r="370" spans="1:1">
      <c r="A370" s="141"/>
    </row>
    <row r="371" spans="1:1">
      <c r="A371" s="141"/>
    </row>
    <row r="372" spans="1:1">
      <c r="A372" s="141"/>
    </row>
    <row r="373" spans="1:1">
      <c r="A373" s="141"/>
    </row>
    <row r="374" spans="1:1">
      <c r="A374" s="141"/>
    </row>
    <row r="375" spans="1:1">
      <c r="A375" s="141"/>
    </row>
    <row r="376" spans="1:1">
      <c r="A376" s="141"/>
    </row>
    <row r="377" spans="1:1">
      <c r="A377" s="141"/>
    </row>
    <row r="378" spans="1:1">
      <c r="A378" s="141"/>
    </row>
    <row r="379" spans="1:1">
      <c r="A379" s="141"/>
    </row>
    <row r="380" spans="1:1">
      <c r="A380" s="141"/>
    </row>
    <row r="381" spans="1:1">
      <c r="A381" s="141"/>
    </row>
    <row r="382" spans="1:1">
      <c r="A382" s="141"/>
    </row>
    <row r="383" spans="1:1">
      <c r="A383" s="141"/>
    </row>
    <row r="384" spans="1:1">
      <c r="A384" s="141"/>
    </row>
    <row r="385" spans="1:1">
      <c r="A385" s="141"/>
    </row>
    <row r="386" spans="1:1">
      <c r="A386" s="141"/>
    </row>
    <row r="387" spans="1:1">
      <c r="A387" s="141"/>
    </row>
    <row r="388" spans="1:1">
      <c r="A388" s="141"/>
    </row>
    <row r="389" spans="1:1">
      <c r="A389" s="141"/>
    </row>
    <row r="390" spans="1:1">
      <c r="A390" s="141"/>
    </row>
    <row r="391" spans="1:1">
      <c r="A391" s="141"/>
    </row>
    <row r="392" spans="1:1">
      <c r="A392" s="141"/>
    </row>
    <row r="393" spans="1:1">
      <c r="A393" s="141"/>
    </row>
    <row r="394" spans="1:1">
      <c r="A394" s="141"/>
    </row>
    <row r="395" spans="1:1">
      <c r="A395" s="141"/>
    </row>
    <row r="396" spans="1:1">
      <c r="A396" s="141"/>
    </row>
    <row r="397" spans="1:1">
      <c r="A397" s="141"/>
    </row>
    <row r="398" spans="1:1">
      <c r="A398" s="141"/>
    </row>
    <row r="399" spans="1:1">
      <c r="A399" s="141"/>
    </row>
    <row r="400" spans="1:1">
      <c r="A400" s="141"/>
    </row>
    <row r="401" spans="1:1">
      <c r="A401" s="141"/>
    </row>
    <row r="402" spans="1:1">
      <c r="A402" s="141"/>
    </row>
    <row r="403" spans="1:1">
      <c r="A403" s="141"/>
    </row>
    <row r="404" spans="1:1">
      <c r="A404" s="141"/>
    </row>
    <row r="405" spans="1:1">
      <c r="A405" s="141"/>
    </row>
    <row r="406" spans="1:1">
      <c r="A406" s="141"/>
    </row>
    <row r="407" spans="1:1">
      <c r="A407" s="141"/>
    </row>
    <row r="408" spans="1:1">
      <c r="A408" s="141"/>
    </row>
    <row r="409" spans="1:1">
      <c r="A409" s="141"/>
    </row>
    <row r="410" spans="1:1">
      <c r="A410" s="141"/>
    </row>
    <row r="411" spans="1:1">
      <c r="A411" s="141"/>
    </row>
    <row r="412" spans="1:1">
      <c r="A412" s="141"/>
    </row>
    <row r="413" spans="1:1">
      <c r="A413" s="141"/>
    </row>
    <row r="414" spans="1:1">
      <c r="A414" s="141"/>
    </row>
    <row r="415" spans="1:1">
      <c r="A415" s="141"/>
    </row>
    <row r="416" spans="1:1">
      <c r="A416" s="141"/>
    </row>
    <row r="417" spans="1:1">
      <c r="A417" s="141"/>
    </row>
    <row r="418" spans="1:1">
      <c r="A418" s="141"/>
    </row>
    <row r="419" spans="1:1">
      <c r="A419" s="141"/>
    </row>
    <row r="420" spans="1:1">
      <c r="A420" s="141"/>
    </row>
    <row r="421" spans="1:1">
      <c r="A421" s="141"/>
    </row>
    <row r="422" spans="1:1">
      <c r="A422" s="141"/>
    </row>
    <row r="423" spans="1:1">
      <c r="A423" s="141"/>
    </row>
    <row r="424" spans="1:1">
      <c r="A424" s="141"/>
    </row>
    <row r="425" spans="1:1">
      <c r="A425" s="141"/>
    </row>
    <row r="426" spans="1:1">
      <c r="A426" s="141"/>
    </row>
    <row r="427" spans="1:1">
      <c r="A427" s="141"/>
    </row>
    <row r="428" spans="1:1">
      <c r="A428" s="141"/>
    </row>
    <row r="429" spans="1:1">
      <c r="A429" s="141"/>
    </row>
    <row r="430" spans="1:1">
      <c r="A430" s="141"/>
    </row>
    <row r="431" spans="1:1">
      <c r="A431" s="141"/>
    </row>
    <row r="432" spans="1:1">
      <c r="A432" s="141"/>
    </row>
    <row r="433" spans="1:1">
      <c r="A433" s="141"/>
    </row>
    <row r="434" spans="1:1">
      <c r="A434" s="141"/>
    </row>
    <row r="435" spans="1:1">
      <c r="A435" s="141"/>
    </row>
    <row r="436" spans="1:1">
      <c r="A436" s="141"/>
    </row>
    <row r="437" spans="1:1">
      <c r="A437" s="141"/>
    </row>
    <row r="438" spans="1:1">
      <c r="A438" s="141"/>
    </row>
    <row r="439" spans="1:1">
      <c r="A439" s="141"/>
    </row>
    <row r="440" spans="1:1">
      <c r="A440" s="141"/>
    </row>
    <row r="441" spans="1:1">
      <c r="A441" s="141"/>
    </row>
    <row r="442" spans="1:1">
      <c r="A442" s="141"/>
    </row>
    <row r="443" spans="1:1">
      <c r="A443" s="141"/>
    </row>
    <row r="444" spans="1:1">
      <c r="A444" s="141"/>
    </row>
    <row r="445" spans="1:1">
      <c r="A445" s="141"/>
    </row>
    <row r="446" spans="1:1">
      <c r="A446" s="141"/>
    </row>
    <row r="447" spans="1:1">
      <c r="A447" s="141"/>
    </row>
    <row r="448" spans="1:1">
      <c r="A448" s="141"/>
    </row>
    <row r="449" spans="1:1">
      <c r="A449" s="141"/>
    </row>
    <row r="450" spans="1:1">
      <c r="A450" s="141"/>
    </row>
    <row r="451" spans="1:1">
      <c r="A451" s="141"/>
    </row>
    <row r="452" spans="1:1">
      <c r="A452" s="141"/>
    </row>
    <row r="453" spans="1:1">
      <c r="A453" s="141"/>
    </row>
    <row r="454" spans="1:1">
      <c r="A454" s="141"/>
    </row>
    <row r="455" spans="1:1">
      <c r="A455" s="141"/>
    </row>
    <row r="456" spans="1:1">
      <c r="A456" s="141"/>
    </row>
    <row r="457" spans="1:1">
      <c r="A457" s="141"/>
    </row>
    <row r="458" spans="1:1">
      <c r="A458" s="141"/>
    </row>
    <row r="459" spans="1:1">
      <c r="A459" s="141"/>
    </row>
    <row r="460" spans="1:1">
      <c r="A460" s="141"/>
    </row>
    <row r="461" spans="1:1">
      <c r="A461" s="141"/>
    </row>
    <row r="462" spans="1:1">
      <c r="A462" s="141"/>
    </row>
    <row r="463" spans="1:1">
      <c r="A463" s="141"/>
    </row>
    <row r="464" spans="1:1">
      <c r="A464" s="141"/>
    </row>
    <row r="465" spans="1:1">
      <c r="A465" s="141"/>
    </row>
    <row r="466" spans="1:1">
      <c r="A466" s="141"/>
    </row>
    <row r="467" spans="1:1">
      <c r="A467" s="141"/>
    </row>
    <row r="468" spans="1:1">
      <c r="A468" s="141"/>
    </row>
    <row r="469" spans="1:1">
      <c r="A469" s="141"/>
    </row>
    <row r="470" spans="1:1">
      <c r="A470" s="141"/>
    </row>
    <row r="471" spans="1:1">
      <c r="A471" s="141"/>
    </row>
    <row r="472" spans="1:1">
      <c r="A472" s="141"/>
    </row>
    <row r="473" spans="1:1">
      <c r="A473" s="141"/>
    </row>
    <row r="474" spans="1:1">
      <c r="A474" s="141"/>
    </row>
    <row r="475" spans="1:1">
      <c r="A475" s="141"/>
    </row>
    <row r="476" spans="1:1">
      <c r="A476" s="141"/>
    </row>
    <row r="477" spans="1:1">
      <c r="A477" s="141"/>
    </row>
    <row r="478" spans="1:1">
      <c r="A478" s="141"/>
    </row>
    <row r="479" spans="1:1">
      <c r="A479" s="141"/>
    </row>
    <row r="480" spans="1:1">
      <c r="A480" s="141"/>
    </row>
    <row r="481" spans="1:1">
      <c r="A481" s="141"/>
    </row>
    <row r="482" spans="1:1">
      <c r="A482" s="141"/>
    </row>
    <row r="483" spans="1:1">
      <c r="A483" s="141"/>
    </row>
    <row r="484" spans="1:1">
      <c r="A484" s="141"/>
    </row>
    <row r="485" spans="1:1">
      <c r="A485" s="141"/>
    </row>
    <row r="486" spans="1:1">
      <c r="A486" s="141"/>
    </row>
    <row r="487" spans="1:1">
      <c r="A487" s="141"/>
    </row>
    <row r="488" spans="1:1">
      <c r="A488" s="141"/>
    </row>
    <row r="489" spans="1:1">
      <c r="A489" s="141"/>
    </row>
    <row r="490" spans="1:1">
      <c r="A490" s="141"/>
    </row>
    <row r="491" spans="1:1">
      <c r="A491" s="141"/>
    </row>
    <row r="492" spans="1:1">
      <c r="A492" s="141"/>
    </row>
    <row r="493" spans="1:1">
      <c r="A493" s="141"/>
    </row>
    <row r="494" spans="1:1">
      <c r="A494" s="141"/>
    </row>
    <row r="495" spans="1:1">
      <c r="A495" s="141"/>
    </row>
    <row r="496" spans="1:1">
      <c r="A496" s="141"/>
    </row>
    <row r="497" spans="1:1">
      <c r="A497" s="141"/>
    </row>
    <row r="498" spans="1:1">
      <c r="A498" s="141"/>
    </row>
    <row r="499" spans="1:1">
      <c r="A499" s="141"/>
    </row>
    <row r="500" spans="1:1">
      <c r="A500" s="141"/>
    </row>
    <row r="501" spans="1:1">
      <c r="A501" s="141"/>
    </row>
    <row r="502" spans="1:1">
      <c r="A502" s="141"/>
    </row>
    <row r="503" spans="1:1">
      <c r="A503" s="141"/>
    </row>
    <row r="504" spans="1:1">
      <c r="A504" s="141"/>
    </row>
    <row r="505" spans="1:1">
      <c r="A505" s="141"/>
    </row>
    <row r="506" spans="1:1">
      <c r="A506" s="141"/>
    </row>
    <row r="507" spans="1:1">
      <c r="A507" s="141"/>
    </row>
    <row r="508" spans="1:1">
      <c r="A508" s="141"/>
    </row>
  </sheetData>
  <mergeCells count="37">
    <mergeCell ref="B11:E11"/>
    <mergeCell ref="F2:H6"/>
    <mergeCell ref="B7:E7"/>
    <mergeCell ref="B8:F8"/>
    <mergeCell ref="B9:E9"/>
    <mergeCell ref="B10:E10"/>
    <mergeCell ref="A22:H22"/>
    <mergeCell ref="B12:E12"/>
    <mergeCell ref="B13:E13"/>
    <mergeCell ref="B14:E14"/>
    <mergeCell ref="F14:G14"/>
    <mergeCell ref="B15:E15"/>
    <mergeCell ref="F15:G15"/>
    <mergeCell ref="B16:E16"/>
    <mergeCell ref="B17:E17"/>
    <mergeCell ref="B18:E18"/>
    <mergeCell ref="B19:E19"/>
    <mergeCell ref="A21:H21"/>
    <mergeCell ref="A142:H142"/>
    <mergeCell ref="A23:H23"/>
    <mergeCell ref="A24:H24"/>
    <mergeCell ref="A26:H26"/>
    <mergeCell ref="A28:A29"/>
    <mergeCell ref="B28:B29"/>
    <mergeCell ref="C28:D28"/>
    <mergeCell ref="E28:H28"/>
    <mergeCell ref="A31:H31"/>
    <mergeCell ref="A93:H93"/>
    <mergeCell ref="A108:H108"/>
    <mergeCell ref="A121:H121"/>
    <mergeCell ref="A127:H127"/>
    <mergeCell ref="A151:H151"/>
    <mergeCell ref="B182:H182"/>
    <mergeCell ref="C183:F183"/>
    <mergeCell ref="G183:H183"/>
    <mergeCell ref="C184:F184"/>
    <mergeCell ref="G184:H184"/>
  </mergeCells>
  <pageMargins left="0.59055118110236227" right="0" top="0.39370078740157483" bottom="0.39370078740157483" header="0.31496062992125984" footer="0.31496062992125984"/>
  <pageSetup scale="85" orientation="landscape" horizontalDpi="300" verticalDpi="300" r:id="rId1"/>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8"/>
  <sheetViews>
    <sheetView tabSelected="1" topLeftCell="A16" zoomScale="112" zoomScaleNormal="112" workbookViewId="0">
      <selection activeCell="B8" sqref="B8:F8"/>
    </sheetView>
  </sheetViews>
  <sheetFormatPr defaultRowHeight="15.75" outlineLevelRow="1"/>
  <cols>
    <col min="1" max="1" width="64.5703125" style="104" customWidth="1"/>
    <col min="2" max="2" width="9.140625" style="108" customWidth="1"/>
    <col min="3" max="3" width="11" style="108" customWidth="1"/>
    <col min="4" max="4" width="11.85546875" style="108" customWidth="1"/>
    <col min="5" max="6" width="12.140625" style="108" customWidth="1"/>
    <col min="7" max="7" width="14.140625" style="108" customWidth="1"/>
    <col min="8" max="8" width="13.28515625" style="108" customWidth="1"/>
    <col min="9" max="9" width="17.7109375" style="104" customWidth="1"/>
    <col min="10" max="10" width="15.85546875" style="104" customWidth="1"/>
    <col min="11" max="11" width="13" style="104" customWidth="1"/>
    <col min="12" max="13" width="10.28515625" style="104" bestFit="1" customWidth="1"/>
    <col min="14" max="16384" width="9.140625" style="104"/>
  </cols>
  <sheetData>
    <row r="1" spans="1:12" ht="18.75" customHeight="1" outlineLevel="1">
      <c r="B1" s="105"/>
      <c r="C1" s="105"/>
      <c r="D1" s="105"/>
      <c r="E1" s="104"/>
      <c r="F1" s="142" t="s">
        <v>0</v>
      </c>
      <c r="G1" s="142"/>
      <c r="H1" s="142"/>
      <c r="J1" s="106"/>
      <c r="K1" s="106"/>
      <c r="L1" s="106"/>
    </row>
    <row r="2" spans="1:12" ht="18.75" customHeight="1" outlineLevel="1">
      <c r="A2" s="107"/>
      <c r="E2" s="104"/>
      <c r="F2" s="401" t="s">
        <v>1</v>
      </c>
      <c r="G2" s="401"/>
      <c r="H2" s="401"/>
      <c r="I2" s="109"/>
      <c r="J2" s="106"/>
      <c r="K2" s="106"/>
      <c r="L2" s="106"/>
    </row>
    <row r="3" spans="1:12" ht="18.75" customHeight="1" outlineLevel="1">
      <c r="A3" s="108"/>
      <c r="E3" s="110"/>
      <c r="F3" s="401"/>
      <c r="G3" s="401"/>
      <c r="H3" s="401"/>
      <c r="I3" s="109"/>
      <c r="J3" s="106"/>
      <c r="K3" s="106"/>
      <c r="L3" s="106"/>
    </row>
    <row r="4" spans="1:12" ht="18.75" customHeight="1" outlineLevel="1">
      <c r="A4" s="108"/>
      <c r="E4" s="110"/>
      <c r="F4" s="401"/>
      <c r="G4" s="401"/>
      <c r="H4" s="401"/>
      <c r="I4" s="109"/>
      <c r="J4" s="106"/>
      <c r="K4" s="106"/>
      <c r="L4" s="106"/>
    </row>
    <row r="5" spans="1:12" ht="18.75" customHeight="1" outlineLevel="1">
      <c r="A5" s="108"/>
      <c r="E5" s="110"/>
      <c r="F5" s="401"/>
      <c r="G5" s="401"/>
      <c r="H5" s="401"/>
      <c r="I5" s="109"/>
      <c r="J5" s="106"/>
      <c r="K5" s="106"/>
      <c r="L5" s="106"/>
    </row>
    <row r="6" spans="1:12" ht="36.75" customHeight="1" outlineLevel="1">
      <c r="B6" s="111"/>
      <c r="C6" s="111"/>
      <c r="D6" s="111"/>
      <c r="F6" s="402"/>
      <c r="G6" s="402"/>
      <c r="H6" s="402"/>
    </row>
    <row r="7" spans="1:12" outlineLevel="1">
      <c r="A7" s="112" t="s">
        <v>2</v>
      </c>
      <c r="B7" s="403">
        <f>'3 кв'!B7:E7</f>
        <v>2024</v>
      </c>
      <c r="C7" s="403"/>
      <c r="D7" s="403"/>
      <c r="E7" s="403"/>
      <c r="F7" s="113"/>
      <c r="G7" s="114"/>
      <c r="H7" s="115" t="s">
        <v>3</v>
      </c>
    </row>
    <row r="8" spans="1:12" ht="46.5" customHeight="1" outlineLevel="1">
      <c r="A8" s="116" t="s">
        <v>4</v>
      </c>
      <c r="B8" s="404" t="s">
        <v>5</v>
      </c>
      <c r="C8" s="404"/>
      <c r="D8" s="404"/>
      <c r="E8" s="404"/>
      <c r="F8" s="443"/>
      <c r="G8" s="117" t="s">
        <v>6</v>
      </c>
      <c r="H8" s="118" t="s">
        <v>7</v>
      </c>
    </row>
    <row r="9" spans="1:12" ht="15.75" customHeight="1" outlineLevel="1">
      <c r="A9" s="119" t="s">
        <v>8</v>
      </c>
      <c r="B9" s="403" t="s">
        <v>9</v>
      </c>
      <c r="C9" s="403"/>
      <c r="D9" s="403"/>
      <c r="E9" s="403"/>
      <c r="F9" s="113"/>
      <c r="G9" s="117" t="s">
        <v>10</v>
      </c>
      <c r="H9" s="115">
        <v>150</v>
      </c>
    </row>
    <row r="10" spans="1:12" outlineLevel="1">
      <c r="A10" s="119" t="s">
        <v>11</v>
      </c>
      <c r="B10" s="403"/>
      <c r="C10" s="403"/>
      <c r="D10" s="403"/>
      <c r="E10" s="403"/>
      <c r="F10" s="113"/>
      <c r="G10" s="117" t="s">
        <v>12</v>
      </c>
      <c r="H10" s="115">
        <v>5922386401</v>
      </c>
    </row>
    <row r="11" spans="1:12" ht="15.75" customHeight="1" outlineLevel="1">
      <c r="A11" s="120" t="s">
        <v>253</v>
      </c>
      <c r="B11" s="403" t="s">
        <v>14</v>
      </c>
      <c r="C11" s="403"/>
      <c r="D11" s="403"/>
      <c r="E11" s="403"/>
      <c r="F11" s="121"/>
      <c r="G11" s="117" t="s">
        <v>15</v>
      </c>
      <c r="H11" s="115"/>
    </row>
    <row r="12" spans="1:12" outlineLevel="1">
      <c r="A12" s="120" t="s">
        <v>16</v>
      </c>
      <c r="B12" s="403"/>
      <c r="C12" s="403"/>
      <c r="D12" s="403"/>
      <c r="E12" s="403"/>
      <c r="F12" s="121"/>
      <c r="G12" s="117" t="s">
        <v>17</v>
      </c>
      <c r="H12" s="115"/>
    </row>
    <row r="13" spans="1:12" outlineLevel="1">
      <c r="A13" s="120" t="s">
        <v>18</v>
      </c>
      <c r="B13" s="403"/>
      <c r="C13" s="403"/>
      <c r="D13" s="403"/>
      <c r="E13" s="403"/>
      <c r="F13" s="121"/>
      <c r="G13" s="117" t="s">
        <v>19</v>
      </c>
      <c r="H13" s="115" t="s">
        <v>260</v>
      </c>
    </row>
    <row r="14" spans="1:12" ht="15.75" customHeight="1" outlineLevel="1">
      <c r="A14" s="120" t="s">
        <v>20</v>
      </c>
      <c r="B14" s="403"/>
      <c r="C14" s="403"/>
      <c r="D14" s="403"/>
      <c r="E14" s="403"/>
      <c r="F14" s="403" t="s">
        <v>21</v>
      </c>
      <c r="G14" s="405"/>
      <c r="H14" s="122"/>
    </row>
    <row r="15" spans="1:12" ht="15.75" customHeight="1" outlineLevel="1">
      <c r="A15" s="120" t="s">
        <v>22</v>
      </c>
      <c r="B15" s="403" t="s">
        <v>23</v>
      </c>
      <c r="C15" s="403"/>
      <c r="D15" s="403"/>
      <c r="E15" s="403"/>
      <c r="F15" s="403" t="s">
        <v>24</v>
      </c>
      <c r="G15" s="405"/>
      <c r="H15" s="122"/>
    </row>
    <row r="16" spans="1:12" outlineLevel="1">
      <c r="A16" s="120" t="s">
        <v>25</v>
      </c>
      <c r="B16" s="406">
        <f>F152</f>
        <v>109</v>
      </c>
      <c r="C16" s="406"/>
      <c r="D16" s="406"/>
      <c r="E16" s="406"/>
      <c r="F16" s="123"/>
      <c r="G16" s="123"/>
      <c r="H16" s="123"/>
    </row>
    <row r="17" spans="1:16" ht="15.75" customHeight="1" outlineLevel="1">
      <c r="A17" s="119" t="s">
        <v>26</v>
      </c>
      <c r="B17" s="403" t="s">
        <v>27</v>
      </c>
      <c r="C17" s="403"/>
      <c r="D17" s="403"/>
      <c r="E17" s="403"/>
      <c r="F17" s="124"/>
      <c r="G17" s="124"/>
      <c r="H17" s="124"/>
    </row>
    <row r="18" spans="1:16" outlineLevel="1">
      <c r="A18" s="120" t="s">
        <v>28</v>
      </c>
      <c r="B18" s="403" t="s">
        <v>275</v>
      </c>
      <c r="C18" s="403"/>
      <c r="D18" s="403"/>
      <c r="E18" s="403"/>
      <c r="F18" s="123"/>
      <c r="G18" s="123"/>
      <c r="H18" s="123"/>
    </row>
    <row r="19" spans="1:16" ht="15.75" customHeight="1" outlineLevel="1">
      <c r="A19" s="119" t="s">
        <v>30</v>
      </c>
      <c r="B19" s="403" t="s">
        <v>31</v>
      </c>
      <c r="C19" s="403"/>
      <c r="D19" s="403"/>
      <c r="E19" s="403"/>
      <c r="F19" s="124"/>
      <c r="G19" s="124"/>
      <c r="H19" s="124"/>
    </row>
    <row r="20" spans="1:16" ht="19.5" customHeight="1" outlineLevel="1">
      <c r="A20" s="110"/>
      <c r="B20" s="104"/>
      <c r="C20" s="104"/>
      <c r="D20" s="104"/>
      <c r="E20" s="104"/>
      <c r="F20" s="104"/>
      <c r="G20" s="104"/>
      <c r="H20" s="104"/>
    </row>
    <row r="21" spans="1:16" ht="19.5" customHeight="1" outlineLevel="1">
      <c r="A21" s="407" t="s">
        <v>32</v>
      </c>
      <c r="B21" s="407"/>
      <c r="C21" s="407"/>
      <c r="D21" s="407"/>
      <c r="E21" s="407"/>
      <c r="F21" s="407"/>
      <c r="G21" s="407"/>
      <c r="H21" s="407"/>
    </row>
    <row r="22" spans="1:16" outlineLevel="1">
      <c r="A22" s="407" t="s">
        <v>33</v>
      </c>
      <c r="B22" s="407"/>
      <c r="C22" s="407"/>
      <c r="D22" s="407"/>
      <c r="E22" s="407"/>
      <c r="F22" s="407"/>
      <c r="G22" s="407"/>
      <c r="H22" s="407"/>
    </row>
    <row r="23" spans="1:16">
      <c r="A23" s="407" t="s">
        <v>276</v>
      </c>
      <c r="B23" s="407"/>
      <c r="C23" s="407"/>
      <c r="D23" s="407"/>
      <c r="E23" s="407"/>
      <c r="F23" s="407"/>
      <c r="G23" s="407"/>
      <c r="H23" s="407"/>
    </row>
    <row r="24" spans="1:16">
      <c r="A24" s="408" t="s">
        <v>34</v>
      </c>
      <c r="B24" s="408"/>
      <c r="C24" s="408"/>
      <c r="D24" s="408"/>
      <c r="E24" s="408"/>
      <c r="F24" s="408"/>
      <c r="G24" s="408"/>
      <c r="H24" s="408"/>
    </row>
    <row r="25" spans="1:16" ht="9" customHeight="1">
      <c r="A25" s="125"/>
      <c r="B25" s="125"/>
      <c r="C25" s="125"/>
      <c r="D25" s="125"/>
      <c r="E25" s="125"/>
      <c r="F25" s="125"/>
      <c r="G25" s="125"/>
      <c r="H25" s="125"/>
    </row>
    <row r="26" spans="1:16">
      <c r="A26" s="407" t="s">
        <v>35</v>
      </c>
      <c r="B26" s="407"/>
      <c r="C26" s="407"/>
      <c r="D26" s="407"/>
      <c r="E26" s="407"/>
      <c r="F26" s="407"/>
      <c r="G26" s="407"/>
      <c r="H26" s="407"/>
    </row>
    <row r="27" spans="1:16" ht="12" customHeight="1">
      <c r="B27" s="126"/>
      <c r="C27" s="126"/>
      <c r="D27" s="126"/>
      <c r="E27" s="126"/>
      <c r="F27" s="126"/>
      <c r="G27" s="126"/>
      <c r="H27" s="126"/>
    </row>
    <row r="28" spans="1:16" ht="48.75" customHeight="1">
      <c r="A28" s="409" t="s">
        <v>36</v>
      </c>
      <c r="B28" s="411" t="s">
        <v>37</v>
      </c>
      <c r="C28" s="413" t="s">
        <v>38</v>
      </c>
      <c r="D28" s="414"/>
      <c r="E28" s="415" t="s">
        <v>274</v>
      </c>
      <c r="F28" s="416"/>
      <c r="G28" s="416"/>
      <c r="H28" s="417"/>
    </row>
    <row r="29" spans="1:16" ht="32.25" customHeight="1">
      <c r="A29" s="410"/>
      <c r="B29" s="412"/>
      <c r="C29" s="144" t="s">
        <v>39</v>
      </c>
      <c r="D29" s="144" t="s">
        <v>40</v>
      </c>
      <c r="E29" s="144" t="s">
        <v>41</v>
      </c>
      <c r="F29" s="144" t="s">
        <v>42</v>
      </c>
      <c r="G29" s="144" t="s">
        <v>43</v>
      </c>
      <c r="H29" s="144" t="s">
        <v>44</v>
      </c>
    </row>
    <row r="30" spans="1:16">
      <c r="A30" s="143">
        <v>1</v>
      </c>
      <c r="B30" s="144">
        <v>2</v>
      </c>
      <c r="C30" s="143">
        <v>3</v>
      </c>
      <c r="D30" s="144">
        <v>4</v>
      </c>
      <c r="E30" s="143">
        <v>5</v>
      </c>
      <c r="F30" s="144">
        <v>6</v>
      </c>
      <c r="G30" s="143">
        <v>7</v>
      </c>
      <c r="H30" s="144">
        <v>8</v>
      </c>
    </row>
    <row r="31" spans="1:16" s="127" customFormat="1" ht="19.5" customHeight="1">
      <c r="A31" s="418" t="s">
        <v>45</v>
      </c>
      <c r="B31" s="419"/>
      <c r="C31" s="419"/>
      <c r="D31" s="419"/>
      <c r="E31" s="419"/>
      <c r="F31" s="419"/>
      <c r="G31" s="419"/>
      <c r="H31" s="420"/>
    </row>
    <row r="32" spans="1:16" s="127" customFormat="1">
      <c r="A32" s="146" t="s">
        <v>46</v>
      </c>
      <c r="B32" s="143">
        <v>1000</v>
      </c>
      <c r="C32" s="178">
        <f>C33+C36+C40+C37</f>
        <v>24513.299999999996</v>
      </c>
      <c r="D32" s="178">
        <f>D33+D36+D40+D37</f>
        <v>24088.698</v>
      </c>
      <c r="E32" s="178">
        <f>E33+E36+E40+E37</f>
        <v>8213.8952541119997</v>
      </c>
      <c r="F32" s="178">
        <f>F33+F36+F40+F37</f>
        <v>6923.2999999999993</v>
      </c>
      <c r="G32" s="178">
        <f>G33+G36+G40+G37</f>
        <v>-1290.5952541119993</v>
      </c>
      <c r="H32" s="285">
        <f t="shared" ref="H32:H61" si="0">(F32/E32)*100</f>
        <v>84.287658727253572</v>
      </c>
      <c r="I32" s="128"/>
      <c r="J32" s="128"/>
      <c r="K32" s="128"/>
      <c r="L32" s="128"/>
      <c r="M32" s="128"/>
      <c r="N32" s="128"/>
      <c r="O32" s="128"/>
      <c r="P32" s="128"/>
    </row>
    <row r="33" spans="1:16" s="127" customFormat="1">
      <c r="A33" s="146" t="s">
        <v>47</v>
      </c>
      <c r="B33" s="143">
        <v>1010</v>
      </c>
      <c r="C33" s="180">
        <f>C34+C35</f>
        <v>18552.799999999996</v>
      </c>
      <c r="D33" s="178">
        <f>D34+D35</f>
        <v>22316.63</v>
      </c>
      <c r="E33" s="178">
        <f>E34+E35</f>
        <v>5944.5227052324481</v>
      </c>
      <c r="F33" s="178">
        <f>F34+F35</f>
        <v>6515.5</v>
      </c>
      <c r="G33" s="178">
        <f>F33-E33</f>
        <v>570.97729476755194</v>
      </c>
      <c r="H33" s="285">
        <f t="shared" si="0"/>
        <v>109.6050990648075</v>
      </c>
      <c r="I33" s="128"/>
      <c r="J33" s="128"/>
      <c r="K33" s="128"/>
      <c r="L33" s="128"/>
      <c r="M33" s="128"/>
      <c r="N33" s="128"/>
      <c r="O33" s="128"/>
      <c r="P33" s="128"/>
    </row>
    <row r="34" spans="1:16" s="127" customFormat="1">
      <c r="A34" s="150" t="s">
        <v>48</v>
      </c>
      <c r="B34" s="143">
        <v>1011</v>
      </c>
      <c r="C34" s="276">
        <f>'2023'!F34</f>
        <v>234.78</v>
      </c>
      <c r="D34" s="276">
        <f>F34+'3 кв'!D34</f>
        <v>1890.2</v>
      </c>
      <c r="E34" s="276">
        <f>план!J39</f>
        <v>0</v>
      </c>
      <c r="F34" s="276">
        <v>1326.4</v>
      </c>
      <c r="G34" s="276"/>
      <c r="H34" s="285"/>
      <c r="I34" s="128"/>
      <c r="J34" s="128"/>
      <c r="K34" s="128"/>
      <c r="L34" s="128"/>
      <c r="M34" s="128"/>
      <c r="N34" s="128"/>
      <c r="O34" s="128"/>
      <c r="P34" s="128"/>
    </row>
    <row r="35" spans="1:16" s="127" customFormat="1" ht="31.5">
      <c r="A35" s="150" t="s">
        <v>49</v>
      </c>
      <c r="B35" s="143">
        <v>1012</v>
      </c>
      <c r="C35" s="276">
        <f>'2023'!F35</f>
        <v>18318.019999999997</v>
      </c>
      <c r="D35" s="276">
        <f>F35+'3 кв'!D35</f>
        <v>20426.43</v>
      </c>
      <c r="E35" s="276">
        <f>план!J40</f>
        <v>5944.5227052324481</v>
      </c>
      <c r="F35" s="276">
        <v>5189.1000000000004</v>
      </c>
      <c r="G35" s="276">
        <f>F35-E35</f>
        <v>-755.4227052324477</v>
      </c>
      <c r="H35" s="285">
        <f t="shared" si="0"/>
        <v>87.292121795287031</v>
      </c>
      <c r="I35" s="128"/>
      <c r="J35" s="128"/>
      <c r="K35" s="128"/>
      <c r="L35" s="128"/>
      <c r="M35" s="128"/>
      <c r="N35" s="128"/>
      <c r="O35" s="128"/>
      <c r="P35" s="128"/>
    </row>
    <row r="36" spans="1:16" s="127" customFormat="1" ht="15" customHeight="1">
      <c r="A36" s="146" t="s">
        <v>50</v>
      </c>
      <c r="B36" s="143">
        <v>1020</v>
      </c>
      <c r="C36" s="208">
        <f>'2023'!F36</f>
        <v>4600</v>
      </c>
      <c r="D36" s="208">
        <f>F36+'3 кв'!D36</f>
        <v>0</v>
      </c>
      <c r="E36" s="208">
        <f>план!J41</f>
        <v>900</v>
      </c>
      <c r="F36" s="208"/>
      <c r="G36" s="208">
        <f>F36-E36</f>
        <v>-900</v>
      </c>
      <c r="H36" s="286">
        <f t="shared" si="0"/>
        <v>0</v>
      </c>
      <c r="I36" s="128"/>
      <c r="J36" s="128"/>
      <c r="K36" s="128"/>
      <c r="L36" s="128"/>
      <c r="M36" s="128"/>
      <c r="N36" s="128"/>
      <c r="O36" s="128"/>
      <c r="P36" s="128"/>
    </row>
    <row r="37" spans="1:16" s="127" customFormat="1" ht="18" customHeight="1">
      <c r="A37" s="146" t="s">
        <v>51</v>
      </c>
      <c r="B37" s="143">
        <v>1030</v>
      </c>
      <c r="C37" s="207">
        <f>C38+C39</f>
        <v>1073.3000000000002</v>
      </c>
      <c r="D37" s="208">
        <f>F37+'3 кв'!D37</f>
        <v>1753.1799999999998</v>
      </c>
      <c r="E37" s="208">
        <f>E38+E39</f>
        <v>1369.3725488795512</v>
      </c>
      <c r="F37" s="208">
        <f>F38+F39</f>
        <v>403.9</v>
      </c>
      <c r="G37" s="208">
        <f>F37-E37</f>
        <v>-965.47254887955125</v>
      </c>
      <c r="H37" s="285">
        <f t="shared" si="0"/>
        <v>29.495260462938244</v>
      </c>
      <c r="I37" s="128"/>
      <c r="J37" s="128"/>
      <c r="K37" s="128"/>
      <c r="L37" s="128"/>
      <c r="M37" s="128"/>
      <c r="N37" s="128"/>
      <c r="O37" s="128"/>
      <c r="P37" s="128"/>
    </row>
    <row r="38" spans="1:16" s="127" customFormat="1">
      <c r="A38" s="151" t="s">
        <v>259</v>
      </c>
      <c r="B38" s="143">
        <v>1031</v>
      </c>
      <c r="C38" s="276">
        <f>'2023'!F38</f>
        <v>1073.3000000000002</v>
      </c>
      <c r="D38" s="276">
        <f>F38+'3 кв'!D38</f>
        <v>1253.1799999999998</v>
      </c>
      <c r="E38" s="276">
        <f>план!J43</f>
        <v>677.37254887955123</v>
      </c>
      <c r="F38" s="276">
        <v>403.9</v>
      </c>
      <c r="G38" s="276">
        <f>F38-E38</f>
        <v>-273.47254887955125</v>
      </c>
      <c r="H38" s="285">
        <f t="shared" si="0"/>
        <v>59.62745326306699</v>
      </c>
      <c r="I38" s="128"/>
      <c r="J38" s="128"/>
      <c r="K38" s="128"/>
      <c r="L38" s="128"/>
      <c r="M38" s="128"/>
      <c r="N38" s="128"/>
      <c r="O38" s="128"/>
      <c r="P38" s="128"/>
    </row>
    <row r="39" spans="1:16" s="127" customFormat="1">
      <c r="A39" s="151" t="s">
        <v>268</v>
      </c>
      <c r="B39" s="143">
        <v>1032</v>
      </c>
      <c r="C39" s="276">
        <f>'2023'!F39</f>
        <v>0</v>
      </c>
      <c r="D39" s="276">
        <f>F39+'3 кв'!D39</f>
        <v>500</v>
      </c>
      <c r="E39" s="276">
        <f>план!J44</f>
        <v>692</v>
      </c>
      <c r="F39" s="276"/>
      <c r="G39" s="276">
        <f>F39-E39</f>
        <v>-692</v>
      </c>
      <c r="H39" s="285">
        <f t="shared" si="0"/>
        <v>0</v>
      </c>
      <c r="I39" s="128"/>
      <c r="J39" s="128"/>
      <c r="K39" s="128"/>
      <c r="L39" s="128"/>
      <c r="M39" s="128"/>
      <c r="N39" s="128"/>
      <c r="O39" s="128"/>
      <c r="P39" s="128"/>
    </row>
    <row r="40" spans="1:16" s="127" customFormat="1">
      <c r="A40" s="146" t="s">
        <v>53</v>
      </c>
      <c r="B40" s="143">
        <v>1040</v>
      </c>
      <c r="C40" s="278">
        <f>C41+C42+C43+C44+C45</f>
        <v>287.2</v>
      </c>
      <c r="D40" s="208">
        <f>F40+'3 кв'!D40</f>
        <v>18.887999999999998</v>
      </c>
      <c r="E40" s="278">
        <f>E41+E42+E43+E44+E45</f>
        <v>0</v>
      </c>
      <c r="F40" s="278">
        <f>F41+F42+F43+F44+F45</f>
        <v>3.9</v>
      </c>
      <c r="G40" s="278">
        <f>G41+G42+G43+G44+G45</f>
        <v>3.9</v>
      </c>
      <c r="H40" s="285"/>
      <c r="I40" s="128"/>
      <c r="J40" s="128"/>
      <c r="K40" s="128"/>
      <c r="L40" s="128"/>
      <c r="M40" s="128"/>
      <c r="N40" s="128"/>
      <c r="O40" s="128"/>
      <c r="P40" s="128"/>
    </row>
    <row r="41" spans="1:16" s="127" customFormat="1">
      <c r="A41" s="150" t="s">
        <v>54</v>
      </c>
      <c r="B41" s="143">
        <v>1041</v>
      </c>
      <c r="C41" s="276">
        <f>'2023'!F41</f>
        <v>0</v>
      </c>
      <c r="D41" s="276">
        <f>F41+'3 кв'!D41</f>
        <v>0</v>
      </c>
      <c r="E41" s="276">
        <f>план!J46</f>
        <v>0</v>
      </c>
      <c r="F41" s="276"/>
      <c r="G41" s="276">
        <f t="shared" ref="G41:G47" si="1">F41-E41</f>
        <v>0</v>
      </c>
      <c r="H41" s="285"/>
      <c r="I41" s="128"/>
      <c r="J41" s="128"/>
      <c r="K41" s="128"/>
      <c r="L41" s="128"/>
      <c r="M41" s="128"/>
      <c r="N41" s="128"/>
      <c r="O41" s="128"/>
      <c r="P41" s="128"/>
    </row>
    <row r="42" spans="1:16" s="127" customFormat="1">
      <c r="A42" s="150" t="s">
        <v>55</v>
      </c>
      <c r="B42" s="143">
        <v>1042</v>
      </c>
      <c r="C42" s="276">
        <f>'2023'!F42</f>
        <v>0</v>
      </c>
      <c r="D42" s="276">
        <f>F42+'3 кв'!D42</f>
        <v>0</v>
      </c>
      <c r="E42" s="276">
        <f>план!J47</f>
        <v>0</v>
      </c>
      <c r="F42" s="276"/>
      <c r="G42" s="276">
        <f t="shared" si="1"/>
        <v>0</v>
      </c>
      <c r="H42" s="285"/>
      <c r="I42" s="128"/>
      <c r="J42" s="128"/>
      <c r="K42" s="128"/>
      <c r="L42" s="128"/>
      <c r="M42" s="128"/>
      <c r="N42" s="128"/>
      <c r="O42" s="128"/>
      <c r="P42" s="128"/>
    </row>
    <row r="43" spans="1:16" s="127" customFormat="1" ht="21.75" customHeight="1">
      <c r="A43" s="154" t="s">
        <v>56</v>
      </c>
      <c r="B43" s="143">
        <v>1043</v>
      </c>
      <c r="C43" s="276">
        <f>'2023'!F43</f>
        <v>0</v>
      </c>
      <c r="D43" s="276">
        <f>F43+'3 кв'!D43</f>
        <v>0</v>
      </c>
      <c r="E43" s="276">
        <f>план!J48</f>
        <v>0</v>
      </c>
      <c r="F43" s="276"/>
      <c r="G43" s="276">
        <f t="shared" si="1"/>
        <v>0</v>
      </c>
      <c r="H43" s="285"/>
      <c r="I43" s="128"/>
      <c r="J43" s="128"/>
      <c r="K43" s="128"/>
      <c r="L43" s="128"/>
      <c r="M43" s="128"/>
      <c r="N43" s="128"/>
      <c r="O43" s="128"/>
      <c r="P43" s="128"/>
    </row>
    <row r="44" spans="1:16" s="127" customFormat="1" ht="19.5" customHeight="1">
      <c r="A44" s="154" t="s">
        <v>57</v>
      </c>
      <c r="B44" s="143">
        <v>1044</v>
      </c>
      <c r="C44" s="276">
        <f>'2023'!F44</f>
        <v>287.2</v>
      </c>
      <c r="D44" s="276">
        <f>F44+'3 кв'!D44</f>
        <v>18.887999999999998</v>
      </c>
      <c r="E44" s="276">
        <f>план!J49</f>
        <v>0</v>
      </c>
      <c r="F44" s="276">
        <f>2.8+1.1</f>
        <v>3.9</v>
      </c>
      <c r="G44" s="276">
        <f t="shared" si="1"/>
        <v>3.9</v>
      </c>
      <c r="H44" s="285"/>
      <c r="I44" s="128"/>
      <c r="J44" s="128"/>
      <c r="K44" s="128"/>
      <c r="L44" s="128"/>
      <c r="M44" s="128"/>
      <c r="N44" s="128"/>
      <c r="O44" s="128"/>
      <c r="P44" s="128"/>
    </row>
    <row r="45" spans="1:16" s="127" customFormat="1">
      <c r="A45" s="155" t="s">
        <v>254</v>
      </c>
      <c r="B45" s="143">
        <v>1045</v>
      </c>
      <c r="C45" s="276">
        <f>'2023'!F45</f>
        <v>0</v>
      </c>
      <c r="D45" s="276">
        <f>F45+'3 кв'!D45</f>
        <v>0</v>
      </c>
      <c r="E45" s="276">
        <f>план!J50</f>
        <v>0</v>
      </c>
      <c r="F45" s="276">
        <f>F46+F47</f>
        <v>0</v>
      </c>
      <c r="G45" s="276">
        <f t="shared" si="1"/>
        <v>0</v>
      </c>
      <c r="H45" s="285"/>
      <c r="I45" s="128"/>
      <c r="J45" s="128"/>
      <c r="K45" s="128"/>
      <c r="L45" s="128"/>
      <c r="M45" s="128"/>
      <c r="N45" s="128"/>
      <c r="O45" s="128"/>
      <c r="P45" s="128"/>
    </row>
    <row r="46" spans="1:16" s="127" customFormat="1">
      <c r="A46" s="155" t="s">
        <v>59</v>
      </c>
      <c r="B46" s="143" t="s">
        <v>60</v>
      </c>
      <c r="C46" s="276">
        <f>'2023'!F46</f>
        <v>0</v>
      </c>
      <c r="D46" s="276">
        <f>F46+'3 кв'!D46</f>
        <v>0</v>
      </c>
      <c r="E46" s="276">
        <f>план!J51</f>
        <v>0</v>
      </c>
      <c r="F46" s="276"/>
      <c r="G46" s="276">
        <f t="shared" si="1"/>
        <v>0</v>
      </c>
      <c r="H46" s="285"/>
      <c r="I46" s="128"/>
      <c r="K46" s="128"/>
      <c r="L46" s="128"/>
      <c r="M46" s="128"/>
      <c r="N46" s="128"/>
      <c r="O46" s="128"/>
      <c r="P46" s="128"/>
    </row>
    <row r="47" spans="1:16" s="127" customFormat="1" ht="18.75">
      <c r="A47" s="155"/>
      <c r="B47" s="143"/>
      <c r="C47" s="8"/>
      <c r="D47" s="9"/>
      <c r="E47" s="9"/>
      <c r="F47" s="9"/>
      <c r="G47" s="9">
        <f t="shared" si="1"/>
        <v>0</v>
      </c>
      <c r="H47" s="285"/>
      <c r="I47" s="128"/>
      <c r="K47" s="128"/>
      <c r="L47" s="128"/>
      <c r="M47" s="128"/>
      <c r="N47" s="128"/>
      <c r="O47" s="128"/>
      <c r="P47" s="128"/>
    </row>
    <row r="48" spans="1:16" s="127" customFormat="1">
      <c r="A48" s="156" t="s">
        <v>62</v>
      </c>
      <c r="B48" s="143">
        <v>2000</v>
      </c>
      <c r="C48" s="178">
        <f>C49+C74</f>
        <v>22185.9605434</v>
      </c>
      <c r="D48" s="178">
        <f>D49+D74</f>
        <v>22817.272000000004</v>
      </c>
      <c r="E48" s="178">
        <f>E49+E74</f>
        <v>8213.8952541119997</v>
      </c>
      <c r="F48" s="178">
        <f>F49+F74</f>
        <v>6003.2420000000011</v>
      </c>
      <c r="G48" s="178">
        <f>F48-E48</f>
        <v>-2210.6532541119986</v>
      </c>
      <c r="H48" s="285">
        <f t="shared" si="0"/>
        <v>73.086420197465841</v>
      </c>
      <c r="I48" s="128"/>
      <c r="J48" s="128"/>
      <c r="K48" s="128"/>
      <c r="L48" s="128"/>
      <c r="M48" s="128"/>
      <c r="N48" s="128"/>
      <c r="O48" s="128"/>
      <c r="P48" s="128"/>
    </row>
    <row r="49" spans="1:16" s="127" customFormat="1">
      <c r="A49" s="157" t="s">
        <v>63</v>
      </c>
      <c r="B49" s="143">
        <v>2010</v>
      </c>
      <c r="C49" s="180">
        <f>C50+C51+C52+C66+C67+C68+C72+C73</f>
        <v>22185.9605434</v>
      </c>
      <c r="D49" s="180">
        <f>D50+D51+D52+D66+D67+D68+D72+D73</f>
        <v>22817.272000000004</v>
      </c>
      <c r="E49" s="180">
        <f>E50+E51+E52+E66+E67+E68+E72+E73</f>
        <v>7981.3952541119997</v>
      </c>
      <c r="F49" s="178">
        <f>F50+F51+F52+F66+F67+F68+F72+F73</f>
        <v>6003.2420000000011</v>
      </c>
      <c r="G49" s="178">
        <f>G50+G51+G52+G66+G67+G68+G72+G73</f>
        <v>-1978.1532541119984</v>
      </c>
      <c r="H49" s="285">
        <f t="shared" si="0"/>
        <v>75.215445531370491</v>
      </c>
      <c r="I49" s="128"/>
      <c r="K49" s="128"/>
      <c r="L49" s="128"/>
      <c r="M49" s="128"/>
      <c r="N49" s="128"/>
      <c r="O49" s="128"/>
      <c r="P49" s="128"/>
    </row>
    <row r="50" spans="1:16" s="127" customFormat="1">
      <c r="A50" s="158" t="s">
        <v>64</v>
      </c>
      <c r="B50" s="143">
        <v>2010</v>
      </c>
      <c r="C50" s="276">
        <f>'2023'!F50</f>
        <v>15185.588970000001</v>
      </c>
      <c r="D50" s="276">
        <f>F50+'3 кв'!D50</f>
        <v>15511.180000000002</v>
      </c>
      <c r="E50" s="188">
        <f>план!J55</f>
        <v>5118.7649999999994</v>
      </c>
      <c r="F50" s="188">
        <f>F166</f>
        <v>3936.1</v>
      </c>
      <c r="G50" s="188">
        <f t="shared" ref="G50:G88" si="2">F50-E50</f>
        <v>-1182.6649999999995</v>
      </c>
      <c r="H50" s="285">
        <f t="shared" si="0"/>
        <v>76.895501160924567</v>
      </c>
      <c r="I50" s="128"/>
      <c r="J50" s="128"/>
      <c r="K50" s="128"/>
      <c r="L50" s="128"/>
      <c r="M50" s="128"/>
      <c r="N50" s="128"/>
      <c r="O50" s="128"/>
      <c r="P50" s="128"/>
    </row>
    <row r="51" spans="1:16" s="127" customFormat="1">
      <c r="A51" s="158" t="s">
        <v>65</v>
      </c>
      <c r="B51" s="143">
        <v>2011</v>
      </c>
      <c r="C51" s="276">
        <f>'2023'!F51</f>
        <v>3491.4415733999981</v>
      </c>
      <c r="D51" s="276">
        <f>F51+'3 кв'!D51</f>
        <v>3507.9120000000016</v>
      </c>
      <c r="E51" s="188">
        <f>план!J56</f>
        <v>1126.1282999999999</v>
      </c>
      <c r="F51" s="188">
        <f>F103</f>
        <v>896.64200000000119</v>
      </c>
      <c r="G51" s="188">
        <f t="shared" si="2"/>
        <v>-229.48629999999866</v>
      </c>
      <c r="H51" s="285">
        <f t="shared" si="0"/>
        <v>79.62165589835557</v>
      </c>
      <c r="I51" s="128"/>
      <c r="K51" s="128"/>
      <c r="L51" s="128"/>
      <c r="M51" s="128"/>
      <c r="N51" s="128"/>
      <c r="O51" s="128"/>
      <c r="P51" s="128"/>
    </row>
    <row r="52" spans="1:16" s="127" customFormat="1">
      <c r="A52" s="159" t="s">
        <v>66</v>
      </c>
      <c r="B52" s="143">
        <v>2020</v>
      </c>
      <c r="C52" s="280">
        <f>C53+C54+C55+C56+C57+C58+C59</f>
        <v>2957.9300000000003</v>
      </c>
      <c r="D52" s="280">
        <f>D53+D54+D55+D56+D57+D58+D59</f>
        <v>3346.88</v>
      </c>
      <c r="E52" s="281">
        <f>E53+E54+E55+E56+E57+E58+E59</f>
        <v>1624.9019541120001</v>
      </c>
      <c r="F52" s="281">
        <f>F53+F54+F55+F56+F57+F58+F59</f>
        <v>1044.5</v>
      </c>
      <c r="G52" s="281">
        <f t="shared" si="2"/>
        <v>-580.40195411200011</v>
      </c>
      <c r="H52" s="285">
        <f t="shared" si="0"/>
        <v>64.280801518933089</v>
      </c>
      <c r="I52" s="128"/>
      <c r="K52" s="128"/>
      <c r="L52" s="128"/>
      <c r="M52" s="128"/>
      <c r="N52" s="128"/>
      <c r="O52" s="128"/>
      <c r="P52" s="128"/>
    </row>
    <row r="53" spans="1:16" s="127" customFormat="1">
      <c r="A53" s="158" t="s">
        <v>67</v>
      </c>
      <c r="B53" s="143">
        <v>2021</v>
      </c>
      <c r="C53" s="276">
        <f>'2023'!F53</f>
        <v>202.5</v>
      </c>
      <c r="D53" s="276">
        <f>F53+'3 кв'!D53</f>
        <v>135.1</v>
      </c>
      <c r="E53" s="188">
        <f>план!J58</f>
        <v>100</v>
      </c>
      <c r="F53" s="188">
        <v>38.799999999999997</v>
      </c>
      <c r="G53" s="188">
        <f t="shared" si="2"/>
        <v>-61.2</v>
      </c>
      <c r="H53" s="285">
        <f t="shared" si="0"/>
        <v>38.799999999999997</v>
      </c>
      <c r="I53" s="128"/>
      <c r="K53" s="128"/>
      <c r="L53" s="128"/>
      <c r="M53" s="128"/>
      <c r="N53" s="128"/>
      <c r="O53" s="128"/>
      <c r="P53" s="128"/>
    </row>
    <row r="54" spans="1:16" s="127" customFormat="1">
      <c r="A54" s="158" t="s">
        <v>68</v>
      </c>
      <c r="B54" s="143">
        <v>2022</v>
      </c>
      <c r="C54" s="276">
        <f>'2023'!F54</f>
        <v>1470.1000000000001</v>
      </c>
      <c r="D54" s="276">
        <f>F54+'3 кв'!D54</f>
        <v>1765.8000000000002</v>
      </c>
      <c r="E54" s="188">
        <f>план!J59</f>
        <v>750</v>
      </c>
      <c r="F54" s="188">
        <v>540.6</v>
      </c>
      <c r="G54" s="188">
        <f t="shared" si="2"/>
        <v>-209.39999999999998</v>
      </c>
      <c r="H54" s="285">
        <f t="shared" si="0"/>
        <v>72.08</v>
      </c>
      <c r="I54" s="128"/>
      <c r="K54" s="128"/>
      <c r="L54" s="128"/>
      <c r="M54" s="128"/>
      <c r="N54" s="128"/>
      <c r="O54" s="128"/>
      <c r="P54" s="128"/>
    </row>
    <row r="55" spans="1:16" s="127" customFormat="1">
      <c r="A55" s="158" t="s">
        <v>69</v>
      </c>
      <c r="B55" s="143">
        <v>2023</v>
      </c>
      <c r="C55" s="276">
        <f>'2023'!F55</f>
        <v>0</v>
      </c>
      <c r="D55" s="276">
        <f>F55+'3 кв'!D55</f>
        <v>0</v>
      </c>
      <c r="E55" s="188">
        <f>план!J60</f>
        <v>0</v>
      </c>
      <c r="F55" s="188"/>
      <c r="G55" s="188">
        <f t="shared" si="2"/>
        <v>0</v>
      </c>
      <c r="H55" s="285"/>
      <c r="I55" s="128"/>
      <c r="K55" s="128"/>
      <c r="L55" s="128"/>
      <c r="M55" s="128"/>
      <c r="N55" s="128"/>
      <c r="O55" s="128"/>
      <c r="P55" s="128"/>
    </row>
    <row r="56" spans="1:16" s="127" customFormat="1">
      <c r="A56" s="158" t="s">
        <v>70</v>
      </c>
      <c r="B56" s="143">
        <v>2024</v>
      </c>
      <c r="C56" s="276">
        <f>'2023'!F56</f>
        <v>375.30000000000007</v>
      </c>
      <c r="D56" s="276">
        <f>F56+'3 кв'!D56</f>
        <v>368</v>
      </c>
      <c r="E56" s="188">
        <f>план!J61</f>
        <v>170</v>
      </c>
      <c r="F56" s="188">
        <v>104.6</v>
      </c>
      <c r="G56" s="188">
        <f t="shared" si="2"/>
        <v>-65.400000000000006</v>
      </c>
      <c r="H56" s="285">
        <f t="shared" si="0"/>
        <v>61.529411764705877</v>
      </c>
      <c r="I56" s="128"/>
      <c r="K56" s="128"/>
      <c r="L56" s="128"/>
      <c r="M56" s="128"/>
      <c r="N56" s="128"/>
      <c r="O56" s="128"/>
      <c r="P56" s="128"/>
    </row>
    <row r="57" spans="1:16" s="127" customFormat="1">
      <c r="A57" s="158" t="s">
        <v>71</v>
      </c>
      <c r="B57" s="143">
        <v>2025</v>
      </c>
      <c r="C57" s="276">
        <f>'2023'!F57</f>
        <v>0</v>
      </c>
      <c r="D57" s="276">
        <f>F57+'3 кв'!D57</f>
        <v>0</v>
      </c>
      <c r="E57" s="188">
        <f>план!J62</f>
        <v>0</v>
      </c>
      <c r="F57" s="188"/>
      <c r="G57" s="188">
        <f t="shared" si="2"/>
        <v>0</v>
      </c>
      <c r="H57" s="285"/>
      <c r="I57" s="128"/>
      <c r="K57" s="128"/>
      <c r="L57" s="128"/>
      <c r="M57" s="128"/>
      <c r="N57" s="128"/>
      <c r="O57" s="128"/>
      <c r="P57" s="128"/>
    </row>
    <row r="58" spans="1:16" s="127" customFormat="1">
      <c r="A58" s="158" t="s">
        <v>72</v>
      </c>
      <c r="B58" s="143">
        <v>2026</v>
      </c>
      <c r="C58" s="276">
        <f>'2023'!G58</f>
        <v>0</v>
      </c>
      <c r="D58" s="276">
        <f>F58+'3 кв'!D58</f>
        <v>0</v>
      </c>
      <c r="E58" s="188">
        <f>план!J63</f>
        <v>0</v>
      </c>
      <c r="F58" s="188"/>
      <c r="G58" s="188">
        <f t="shared" si="2"/>
        <v>0</v>
      </c>
      <c r="H58" s="285"/>
      <c r="I58" s="128"/>
      <c r="K58" s="128"/>
      <c r="L58" s="128"/>
      <c r="M58" s="128"/>
      <c r="N58" s="128"/>
      <c r="O58" s="128"/>
      <c r="P58" s="128"/>
    </row>
    <row r="59" spans="1:16" s="127" customFormat="1">
      <c r="A59" s="158" t="s">
        <v>73</v>
      </c>
      <c r="B59" s="143">
        <v>2027</v>
      </c>
      <c r="C59" s="189">
        <f>SUM(C60:C64)</f>
        <v>910.03</v>
      </c>
      <c r="D59" s="189">
        <f>SUM(D60:D64)</f>
        <v>1077.98</v>
      </c>
      <c r="E59" s="189">
        <f>E60+E61+E62+E63+E64+E65</f>
        <v>604.901954112</v>
      </c>
      <c r="F59" s="189">
        <f>F60+F61+F62+F63+F64+F65</f>
        <v>360.49999999999994</v>
      </c>
      <c r="G59" s="188">
        <f t="shared" si="2"/>
        <v>-244.40195411200006</v>
      </c>
      <c r="H59" s="285">
        <f t="shared" si="0"/>
        <v>59.596435017178329</v>
      </c>
      <c r="I59" s="128"/>
      <c r="K59" s="128"/>
      <c r="L59" s="128"/>
      <c r="M59" s="128"/>
      <c r="N59" s="128"/>
      <c r="O59" s="128"/>
      <c r="P59" s="128"/>
    </row>
    <row r="60" spans="1:16" s="127" customFormat="1">
      <c r="A60" s="158" t="s">
        <v>74</v>
      </c>
      <c r="B60" s="143">
        <v>2028</v>
      </c>
      <c r="C60" s="276">
        <f>'2023'!F60</f>
        <v>384.29999999999995</v>
      </c>
      <c r="D60" s="276">
        <f>F60+'3 кв'!D60</f>
        <v>345.7</v>
      </c>
      <c r="E60" s="188">
        <f>план!J65</f>
        <v>394.58550000000002</v>
      </c>
      <c r="F60" s="189">
        <v>139.1</v>
      </c>
      <c r="G60" s="189">
        <f t="shared" si="2"/>
        <v>-255.48550000000003</v>
      </c>
      <c r="H60" s="285">
        <f t="shared" si="0"/>
        <v>35.252182353380952</v>
      </c>
      <c r="I60" s="128"/>
      <c r="K60" s="128"/>
      <c r="L60" s="128"/>
      <c r="M60" s="128"/>
      <c r="N60" s="128"/>
      <c r="O60" s="128"/>
      <c r="P60" s="128"/>
    </row>
    <row r="61" spans="1:16" s="127" customFormat="1">
      <c r="A61" s="158" t="s">
        <v>75</v>
      </c>
      <c r="B61" s="143">
        <v>2029</v>
      </c>
      <c r="C61" s="276">
        <f>'2023'!F61</f>
        <v>53.93</v>
      </c>
      <c r="D61" s="276">
        <f>F61+'3 кв'!D61</f>
        <v>61.3</v>
      </c>
      <c r="E61" s="188">
        <f>план!J66</f>
        <v>16.941686111999999</v>
      </c>
      <c r="F61" s="189">
        <v>29</v>
      </c>
      <c r="G61" s="189">
        <f t="shared" si="2"/>
        <v>12.058313888000001</v>
      </c>
      <c r="H61" s="285">
        <f t="shared" si="0"/>
        <v>171.17540608581427</v>
      </c>
      <c r="I61" s="128"/>
      <c r="K61" s="128"/>
      <c r="L61" s="128"/>
      <c r="M61" s="128"/>
      <c r="N61" s="128"/>
      <c r="O61" s="128"/>
      <c r="P61" s="128"/>
    </row>
    <row r="62" spans="1:16" s="127" customFormat="1">
      <c r="A62" s="158" t="s">
        <v>76</v>
      </c>
      <c r="B62" s="143">
        <v>2030</v>
      </c>
      <c r="C62" s="276">
        <f>'2023'!F62</f>
        <v>460.6</v>
      </c>
      <c r="D62" s="276">
        <f>F62+'3 кв'!D62</f>
        <v>659.8</v>
      </c>
      <c r="E62" s="188">
        <f>план!J67</f>
        <v>189.27136800000002</v>
      </c>
      <c r="F62" s="189">
        <v>188.2</v>
      </c>
      <c r="G62" s="189">
        <f t="shared" si="2"/>
        <v>-1.0713680000000352</v>
      </c>
      <c r="H62" s="288">
        <f>(F62/E62)*100</f>
        <v>99.433951362363459</v>
      </c>
      <c r="I62" s="128"/>
      <c r="K62" s="128"/>
      <c r="L62" s="128"/>
      <c r="M62" s="128"/>
      <c r="N62" s="128"/>
      <c r="O62" s="128"/>
      <c r="P62" s="128"/>
    </row>
    <row r="63" spans="1:16" s="127" customFormat="1">
      <c r="A63" s="158" t="s">
        <v>77</v>
      </c>
      <c r="B63" s="143">
        <v>2031</v>
      </c>
      <c r="C63" s="276">
        <f>'2023'!F63</f>
        <v>0</v>
      </c>
      <c r="D63" s="276">
        <f>F63+'3 кв'!D63</f>
        <v>0</v>
      </c>
      <c r="E63" s="188">
        <f>план!J68</f>
        <v>0</v>
      </c>
      <c r="F63" s="189"/>
      <c r="G63" s="189">
        <f t="shared" si="2"/>
        <v>0</v>
      </c>
      <c r="H63" s="288"/>
      <c r="I63" s="128"/>
      <c r="K63" s="128"/>
      <c r="L63" s="128"/>
      <c r="M63" s="128"/>
      <c r="N63" s="128"/>
      <c r="O63" s="128"/>
      <c r="P63" s="128"/>
    </row>
    <row r="64" spans="1:16" s="127" customFormat="1" ht="15" customHeight="1">
      <c r="A64" s="158" t="s">
        <v>78</v>
      </c>
      <c r="B64" s="143">
        <v>2032</v>
      </c>
      <c r="C64" s="276">
        <f>'2023'!F64</f>
        <v>11.2</v>
      </c>
      <c r="D64" s="276">
        <f>F64+'3 кв'!D64</f>
        <v>11.18</v>
      </c>
      <c r="E64" s="188">
        <f>план!J69</f>
        <v>4.1033999999999997</v>
      </c>
      <c r="F64" s="189">
        <v>4.2</v>
      </c>
      <c r="G64" s="189">
        <f t="shared" si="2"/>
        <v>9.6600000000000463E-2</v>
      </c>
      <c r="H64" s="288">
        <f>(F64/E64)*100</f>
        <v>102.3541453428864</v>
      </c>
      <c r="I64" s="128"/>
      <c r="K64" s="128"/>
      <c r="L64" s="128"/>
      <c r="M64" s="128"/>
      <c r="N64" s="128"/>
      <c r="O64" s="128"/>
      <c r="P64" s="128"/>
    </row>
    <row r="65" spans="1:16" s="127" customFormat="1">
      <c r="A65" s="158" t="s">
        <v>79</v>
      </c>
      <c r="B65" s="143">
        <v>2033</v>
      </c>
      <c r="C65" s="276">
        <f>'2023'!G65</f>
        <v>0</v>
      </c>
      <c r="D65" s="276">
        <f>F65+'3 кв'!D65</f>
        <v>0</v>
      </c>
      <c r="E65" s="188">
        <f>план!J70</f>
        <v>0</v>
      </c>
      <c r="F65" s="189"/>
      <c r="G65" s="189">
        <f t="shared" si="2"/>
        <v>0</v>
      </c>
      <c r="H65" s="288"/>
      <c r="I65" s="128"/>
      <c r="K65" s="128"/>
      <c r="L65" s="128"/>
      <c r="M65" s="128"/>
      <c r="N65" s="128"/>
      <c r="O65" s="128"/>
      <c r="P65" s="128"/>
    </row>
    <row r="66" spans="1:16" s="127" customFormat="1" ht="34.5" customHeight="1">
      <c r="A66" s="158" t="s">
        <v>80</v>
      </c>
      <c r="B66" s="143">
        <v>2030</v>
      </c>
      <c r="C66" s="276">
        <f>'2023'!G66</f>
        <v>0</v>
      </c>
      <c r="D66" s="276">
        <f>F66+'3 кв'!D66</f>
        <v>0</v>
      </c>
      <c r="E66" s="188">
        <f>план!J71</f>
        <v>0</v>
      </c>
      <c r="F66" s="189"/>
      <c r="G66" s="189">
        <f t="shared" si="2"/>
        <v>0</v>
      </c>
      <c r="H66" s="288"/>
      <c r="I66" s="128"/>
      <c r="K66" s="128"/>
      <c r="L66" s="128"/>
      <c r="M66" s="128"/>
      <c r="N66" s="128"/>
      <c r="O66" s="128"/>
      <c r="P66" s="128"/>
    </row>
    <row r="67" spans="1:16" s="127" customFormat="1">
      <c r="A67" s="158" t="s">
        <v>81</v>
      </c>
      <c r="B67" s="143">
        <v>2040</v>
      </c>
      <c r="C67" s="276">
        <f>'2023'!G67</f>
        <v>0</v>
      </c>
      <c r="D67" s="276">
        <f>F67+'3 кв'!D67</f>
        <v>0</v>
      </c>
      <c r="E67" s="188">
        <f>план!J72</f>
        <v>0</v>
      </c>
      <c r="F67" s="189"/>
      <c r="G67" s="189">
        <f t="shared" si="2"/>
        <v>0</v>
      </c>
      <c r="H67" s="288"/>
      <c r="I67" s="128"/>
      <c r="K67" s="128"/>
      <c r="L67" s="128"/>
      <c r="M67" s="128"/>
      <c r="N67" s="128"/>
      <c r="O67" s="128"/>
      <c r="P67" s="128"/>
    </row>
    <row r="68" spans="1:16" s="127" customFormat="1">
      <c r="A68" s="158" t="s">
        <v>82</v>
      </c>
      <c r="B68" s="143">
        <v>2050</v>
      </c>
      <c r="C68" s="189">
        <f t="shared" ref="C68:H68" si="3">C69+C70+C71</f>
        <v>143.1</v>
      </c>
      <c r="D68" s="276">
        <f>F68+'3 кв'!D68</f>
        <v>104.99999999999999</v>
      </c>
      <c r="E68" s="189">
        <f t="shared" si="3"/>
        <v>27</v>
      </c>
      <c r="F68" s="189">
        <f t="shared" si="3"/>
        <v>24.8</v>
      </c>
      <c r="G68" s="189">
        <f t="shared" si="3"/>
        <v>-2.1999999999999993</v>
      </c>
      <c r="H68" s="189">
        <f t="shared" si="3"/>
        <v>91.851851851851848</v>
      </c>
      <c r="I68" s="128"/>
      <c r="K68" s="128"/>
      <c r="L68" s="128"/>
      <c r="M68" s="128"/>
      <c r="N68" s="128"/>
      <c r="O68" s="128"/>
      <c r="P68" s="128"/>
    </row>
    <row r="69" spans="1:16" s="127" customFormat="1">
      <c r="A69" s="158" t="s">
        <v>83</v>
      </c>
      <c r="B69" s="143">
        <v>2051</v>
      </c>
      <c r="C69" s="276">
        <f>'2023'!F69</f>
        <v>143.1</v>
      </c>
      <c r="D69" s="276">
        <f>F69+'3 кв'!D69</f>
        <v>104.99999999999999</v>
      </c>
      <c r="E69" s="188">
        <f>план!J74</f>
        <v>27</v>
      </c>
      <c r="F69" s="189">
        <v>24.8</v>
      </c>
      <c r="G69" s="189">
        <f t="shared" si="2"/>
        <v>-2.1999999999999993</v>
      </c>
      <c r="H69" s="288">
        <f>(F69/E69)*100</f>
        <v>91.851851851851848</v>
      </c>
      <c r="I69" s="128"/>
      <c r="K69" s="128"/>
      <c r="L69" s="128"/>
      <c r="M69" s="128"/>
      <c r="N69" s="128"/>
      <c r="O69" s="128"/>
      <c r="P69" s="128"/>
    </row>
    <row r="70" spans="1:16" s="127" customFormat="1">
      <c r="A70" s="158" t="s">
        <v>84</v>
      </c>
      <c r="B70" s="143">
        <v>2052</v>
      </c>
      <c r="C70" s="276">
        <f>'2 кв'!C70+'2023'!E70</f>
        <v>0</v>
      </c>
      <c r="D70" s="276">
        <f>F70+'2 кв'!D70</f>
        <v>0</v>
      </c>
      <c r="E70" s="188">
        <f>план!J75</f>
        <v>0</v>
      </c>
      <c r="F70" s="189"/>
      <c r="G70" s="189">
        <f t="shared" si="2"/>
        <v>0</v>
      </c>
      <c r="H70" s="288"/>
      <c r="I70" s="128"/>
      <c r="K70" s="128"/>
      <c r="L70" s="128"/>
      <c r="M70" s="128"/>
      <c r="N70" s="128"/>
      <c r="O70" s="128"/>
      <c r="P70" s="128"/>
    </row>
    <row r="71" spans="1:16" s="127" customFormat="1">
      <c r="A71" s="158" t="s">
        <v>255</v>
      </c>
      <c r="B71" s="143">
        <v>2053</v>
      </c>
      <c r="C71" s="276">
        <f>'2 кв'!C71+'2023'!E71</f>
        <v>0</v>
      </c>
      <c r="D71" s="276">
        <f>F71+'2 кв'!D71</f>
        <v>0</v>
      </c>
      <c r="E71" s="188">
        <f>план!J76</f>
        <v>0</v>
      </c>
      <c r="F71" s="189"/>
      <c r="G71" s="189">
        <f t="shared" si="2"/>
        <v>0</v>
      </c>
      <c r="H71" s="288"/>
      <c r="I71" s="128"/>
      <c r="K71" s="128"/>
      <c r="L71" s="128"/>
      <c r="M71" s="128"/>
      <c r="N71" s="128"/>
      <c r="O71" s="128"/>
      <c r="P71" s="128"/>
    </row>
    <row r="72" spans="1:16" s="127" customFormat="1">
      <c r="A72" s="158" t="s">
        <v>86</v>
      </c>
      <c r="B72" s="143">
        <v>2060</v>
      </c>
      <c r="C72" s="276">
        <f>'2023'!F72</f>
        <v>407.9</v>
      </c>
      <c r="D72" s="366">
        <f>F72+'3 кв'!D72</f>
        <v>346.3</v>
      </c>
      <c r="E72" s="188">
        <f>план!J77</f>
        <v>84.6</v>
      </c>
      <c r="F72" s="189">
        <v>101.2</v>
      </c>
      <c r="G72" s="189">
        <f t="shared" si="2"/>
        <v>16.600000000000009</v>
      </c>
      <c r="H72" s="288">
        <f>(F72/E72)*100</f>
        <v>119.62174940898348</v>
      </c>
      <c r="I72" s="128"/>
      <c r="K72" s="128"/>
      <c r="L72" s="128"/>
      <c r="M72" s="128"/>
      <c r="N72" s="128"/>
      <c r="O72" s="128"/>
      <c r="P72" s="128"/>
    </row>
    <row r="73" spans="1:16" s="127" customFormat="1">
      <c r="A73" s="158" t="s">
        <v>256</v>
      </c>
      <c r="B73" s="143">
        <v>2070</v>
      </c>
      <c r="C73" s="276">
        <f>'2 кв'!C73+'2023'!E73</f>
        <v>0</v>
      </c>
      <c r="D73" s="276">
        <f>F73+'2 кв'!D73</f>
        <v>0</v>
      </c>
      <c r="E73" s="188">
        <f>план!J78</f>
        <v>0</v>
      </c>
      <c r="F73" s="189"/>
      <c r="G73" s="189">
        <f t="shared" si="2"/>
        <v>0</v>
      </c>
      <c r="H73" s="288"/>
      <c r="I73" s="128"/>
      <c r="K73" s="128"/>
      <c r="L73" s="128"/>
      <c r="M73" s="128"/>
      <c r="N73" s="128"/>
      <c r="O73" s="128"/>
      <c r="P73" s="128"/>
    </row>
    <row r="74" spans="1:16" s="127" customFormat="1">
      <c r="A74" s="157" t="s">
        <v>88</v>
      </c>
      <c r="B74" s="143">
        <v>2100</v>
      </c>
      <c r="C74" s="190">
        <f>C75+C76+C79+C82+C86+C87</f>
        <v>0</v>
      </c>
      <c r="D74" s="190">
        <f>D75+D76+D79+D82+D86+D87</f>
        <v>0</v>
      </c>
      <c r="E74" s="188">
        <f>план!J79</f>
        <v>232.5</v>
      </c>
      <c r="F74" s="190">
        <f>F75+F76+F79+F82+F86+F87</f>
        <v>0</v>
      </c>
      <c r="G74" s="189">
        <f t="shared" si="2"/>
        <v>-232.5</v>
      </c>
      <c r="H74" s="288"/>
      <c r="I74" s="128"/>
      <c r="K74" s="128"/>
      <c r="L74" s="128"/>
      <c r="M74" s="128"/>
      <c r="N74" s="128"/>
      <c r="O74" s="128"/>
      <c r="P74" s="128"/>
    </row>
    <row r="75" spans="1:16" s="127" customFormat="1" ht="21.75" customHeight="1">
      <c r="A75" s="158" t="s">
        <v>89</v>
      </c>
      <c r="B75" s="143">
        <v>2110</v>
      </c>
      <c r="C75" s="276">
        <f>'2023'!F75</f>
        <v>0</v>
      </c>
      <c r="D75" s="276">
        <f>F75+'2 кв'!D75</f>
        <v>0</v>
      </c>
      <c r="E75" s="188">
        <f>план!J80</f>
        <v>232.5</v>
      </c>
      <c r="F75" s="190"/>
      <c r="G75" s="189">
        <f t="shared" si="2"/>
        <v>-232.5</v>
      </c>
      <c r="H75" s="288"/>
      <c r="I75" s="128"/>
      <c r="K75" s="128"/>
      <c r="L75" s="128"/>
      <c r="M75" s="128"/>
      <c r="N75" s="128"/>
      <c r="O75" s="128"/>
      <c r="P75" s="128"/>
    </row>
    <row r="76" spans="1:16" s="127" customFormat="1">
      <c r="A76" s="158" t="s">
        <v>90</v>
      </c>
      <c r="B76" s="143">
        <v>2120</v>
      </c>
      <c r="C76" s="276">
        <f>'2023'!F76</f>
        <v>0</v>
      </c>
      <c r="D76" s="276">
        <f>F76+'2 кв'!D76</f>
        <v>0</v>
      </c>
      <c r="E76" s="188">
        <f>план!J81</f>
        <v>0</v>
      </c>
      <c r="F76" s="190">
        <f>F77+F78</f>
        <v>0</v>
      </c>
      <c r="G76" s="189">
        <f t="shared" si="2"/>
        <v>0</v>
      </c>
      <c r="H76" s="288"/>
      <c r="I76" s="128"/>
      <c r="K76" s="128"/>
      <c r="L76" s="128"/>
      <c r="M76" s="128"/>
      <c r="N76" s="128"/>
      <c r="O76" s="128"/>
      <c r="P76" s="128"/>
    </row>
    <row r="77" spans="1:16" s="127" customFormat="1">
      <c r="A77" s="158" t="s">
        <v>91</v>
      </c>
      <c r="B77" s="143">
        <v>2121</v>
      </c>
      <c r="C77" s="276">
        <f>'2023'!F77</f>
        <v>0</v>
      </c>
      <c r="D77" s="276">
        <f>F77+'2 кв'!D77</f>
        <v>0</v>
      </c>
      <c r="E77" s="188">
        <f>план!J82</f>
        <v>0</v>
      </c>
      <c r="F77" s="189"/>
      <c r="G77" s="189">
        <f t="shared" si="2"/>
        <v>0</v>
      </c>
      <c r="H77" s="288"/>
      <c r="I77" s="128">
        <f>'3 кв'!F77</f>
        <v>0</v>
      </c>
      <c r="K77" s="128"/>
      <c r="L77" s="128"/>
      <c r="M77" s="128"/>
      <c r="N77" s="128"/>
      <c r="O77" s="128"/>
      <c r="P77" s="128"/>
    </row>
    <row r="78" spans="1:16" s="127" customFormat="1">
      <c r="A78" s="158" t="s">
        <v>92</v>
      </c>
      <c r="B78" s="143">
        <v>2122</v>
      </c>
      <c r="C78" s="276">
        <f>'2023'!F78</f>
        <v>0</v>
      </c>
      <c r="D78" s="276">
        <f>F78+'2 кв'!D78</f>
        <v>0</v>
      </c>
      <c r="E78" s="189"/>
      <c r="F78" s="189"/>
      <c r="G78" s="189">
        <f t="shared" si="2"/>
        <v>0</v>
      </c>
      <c r="H78" s="288"/>
      <c r="I78" s="128">
        <f>'3 кв'!F78</f>
        <v>0</v>
      </c>
      <c r="K78" s="128"/>
      <c r="L78" s="128"/>
      <c r="M78" s="128"/>
      <c r="N78" s="128"/>
      <c r="O78" s="128"/>
      <c r="P78" s="128"/>
    </row>
    <row r="79" spans="1:16" s="127" customFormat="1">
      <c r="A79" s="158" t="s">
        <v>93</v>
      </c>
      <c r="B79" s="143">
        <v>2130</v>
      </c>
      <c r="C79" s="276">
        <f>'2023'!F79</f>
        <v>0</v>
      </c>
      <c r="D79" s="276">
        <f>F79+'2 кв'!D79</f>
        <v>0</v>
      </c>
      <c r="E79" s="189">
        <f>E80+E81</f>
        <v>0</v>
      </c>
      <c r="F79" s="189">
        <f>F80+F81</f>
        <v>0</v>
      </c>
      <c r="G79" s="189">
        <f t="shared" si="2"/>
        <v>0</v>
      </c>
      <c r="H79" s="288"/>
      <c r="I79" s="128">
        <f>'3 кв'!F79</f>
        <v>0</v>
      </c>
      <c r="K79" s="128"/>
      <c r="L79" s="128"/>
      <c r="M79" s="128"/>
      <c r="N79" s="128"/>
      <c r="O79" s="128"/>
      <c r="P79" s="128"/>
    </row>
    <row r="80" spans="1:16" s="127" customFormat="1">
      <c r="A80" s="158" t="s">
        <v>94</v>
      </c>
      <c r="B80" s="143">
        <v>2131</v>
      </c>
      <c r="C80" s="276">
        <f>'2023'!F80</f>
        <v>0</v>
      </c>
      <c r="D80" s="276">
        <f>F80+'2 кв'!D80</f>
        <v>0</v>
      </c>
      <c r="E80" s="189"/>
      <c r="F80" s="189"/>
      <c r="G80" s="189">
        <f t="shared" si="2"/>
        <v>0</v>
      </c>
      <c r="H80" s="288"/>
      <c r="I80" s="128">
        <f>'3 кв'!F80</f>
        <v>0</v>
      </c>
      <c r="K80" s="128"/>
      <c r="L80" s="128"/>
      <c r="M80" s="128"/>
      <c r="N80" s="128"/>
      <c r="O80" s="128"/>
      <c r="P80" s="128"/>
    </row>
    <row r="81" spans="1:18" s="127" customFormat="1">
      <c r="A81" s="158" t="s">
        <v>95</v>
      </c>
      <c r="B81" s="143">
        <v>2132</v>
      </c>
      <c r="C81" s="276">
        <f>'2023'!F81</f>
        <v>0</v>
      </c>
      <c r="D81" s="276">
        <f>F81+'2 кв'!D81</f>
        <v>0</v>
      </c>
      <c r="E81" s="189"/>
      <c r="F81" s="189"/>
      <c r="G81" s="189">
        <f t="shared" si="2"/>
        <v>0</v>
      </c>
      <c r="H81" s="288"/>
      <c r="I81" s="128">
        <f>'3 кв'!F81</f>
        <v>0</v>
      </c>
      <c r="K81" s="128"/>
      <c r="L81" s="128"/>
      <c r="M81" s="128"/>
      <c r="N81" s="128"/>
      <c r="O81" s="128"/>
      <c r="P81" s="128"/>
    </row>
    <row r="82" spans="1:18" s="127" customFormat="1">
      <c r="A82" s="158" t="s">
        <v>96</v>
      </c>
      <c r="B82" s="143">
        <v>2140</v>
      </c>
      <c r="C82" s="276">
        <f>'2023'!F82</f>
        <v>0</v>
      </c>
      <c r="D82" s="276">
        <f>F82+'2 кв'!D82</f>
        <v>0</v>
      </c>
      <c r="E82" s="189">
        <f>E83+E84+E85</f>
        <v>0</v>
      </c>
      <c r="F82" s="189">
        <f>F83+F84+F85</f>
        <v>0</v>
      </c>
      <c r="G82" s="189">
        <f t="shared" si="2"/>
        <v>0</v>
      </c>
      <c r="H82" s="288"/>
      <c r="I82" s="128">
        <f>'3 кв'!F82</f>
        <v>0</v>
      </c>
      <c r="K82" s="128"/>
      <c r="L82" s="128"/>
      <c r="M82" s="128"/>
      <c r="N82" s="128"/>
      <c r="O82" s="128"/>
      <c r="P82" s="128"/>
    </row>
    <row r="83" spans="1:18" s="127" customFormat="1">
      <c r="A83" s="158" t="s">
        <v>97</v>
      </c>
      <c r="B83" s="143">
        <v>2141</v>
      </c>
      <c r="C83" s="276">
        <f>'2023'!F83</f>
        <v>0</v>
      </c>
      <c r="D83" s="276">
        <f>F83+'2 кв'!D83</f>
        <v>0</v>
      </c>
      <c r="E83" s="189"/>
      <c r="F83" s="189"/>
      <c r="G83" s="189">
        <f t="shared" si="2"/>
        <v>0</v>
      </c>
      <c r="H83" s="288"/>
      <c r="I83" s="128">
        <f>'3 кв'!F83</f>
        <v>0</v>
      </c>
      <c r="K83" s="128"/>
      <c r="L83" s="128"/>
      <c r="M83" s="128"/>
      <c r="N83" s="128"/>
      <c r="O83" s="128"/>
      <c r="P83" s="128"/>
    </row>
    <row r="84" spans="1:18" s="127" customFormat="1">
      <c r="A84" s="158" t="s">
        <v>98</v>
      </c>
      <c r="B84" s="143">
        <v>2142</v>
      </c>
      <c r="C84" s="276">
        <f>'2023'!F84</f>
        <v>0</v>
      </c>
      <c r="D84" s="276">
        <f>F84+'2 кв'!D84</f>
        <v>0</v>
      </c>
      <c r="E84" s="189"/>
      <c r="F84" s="189"/>
      <c r="G84" s="189">
        <f t="shared" si="2"/>
        <v>0</v>
      </c>
      <c r="H84" s="288"/>
      <c r="I84" s="128">
        <f>'3 кв'!F84</f>
        <v>0</v>
      </c>
      <c r="K84" s="128"/>
      <c r="L84" s="128"/>
      <c r="M84" s="128"/>
      <c r="N84" s="128"/>
      <c r="O84" s="128"/>
      <c r="P84" s="128"/>
    </row>
    <row r="85" spans="1:18" s="127" customFormat="1">
      <c r="A85" s="158" t="s">
        <v>99</v>
      </c>
      <c r="B85" s="143">
        <v>2143</v>
      </c>
      <c r="C85" s="276">
        <f>'2023'!F85</f>
        <v>0</v>
      </c>
      <c r="D85" s="276">
        <f>F85+'2 кв'!D85</f>
        <v>0</v>
      </c>
      <c r="E85" s="190"/>
      <c r="F85" s="190"/>
      <c r="G85" s="189">
        <f t="shared" si="2"/>
        <v>0</v>
      </c>
      <c r="H85" s="288"/>
      <c r="I85" s="128">
        <f>'3 кв'!F85</f>
        <v>0</v>
      </c>
      <c r="K85" s="128"/>
      <c r="L85" s="128"/>
      <c r="M85" s="128"/>
      <c r="N85" s="128"/>
      <c r="O85" s="128"/>
      <c r="P85" s="128"/>
    </row>
    <row r="86" spans="1:18" s="127" customFormat="1">
      <c r="A86" s="158" t="s">
        <v>100</v>
      </c>
      <c r="B86" s="143">
        <v>2150</v>
      </c>
      <c r="C86" s="276">
        <f>'2023'!F86</f>
        <v>0</v>
      </c>
      <c r="D86" s="276">
        <f>F86+'2 кв'!D86</f>
        <v>0</v>
      </c>
      <c r="E86" s="189"/>
      <c r="F86" s="189"/>
      <c r="G86" s="189">
        <f t="shared" si="2"/>
        <v>0</v>
      </c>
      <c r="H86" s="288"/>
      <c r="I86" s="128">
        <f>'3 кв'!F86</f>
        <v>0</v>
      </c>
      <c r="K86" s="128"/>
      <c r="L86" s="128"/>
      <c r="M86" s="128"/>
      <c r="N86" s="128"/>
      <c r="O86" s="128"/>
      <c r="P86" s="128"/>
    </row>
    <row r="87" spans="1:18" s="127" customFormat="1">
      <c r="A87" s="158" t="s">
        <v>101</v>
      </c>
      <c r="B87" s="143">
        <v>2160</v>
      </c>
      <c r="C87" s="276">
        <f>'2023'!F87</f>
        <v>0</v>
      </c>
      <c r="D87" s="276">
        <f>F87+'2 кв'!D87</f>
        <v>0</v>
      </c>
      <c r="E87" s="189"/>
      <c r="F87" s="189"/>
      <c r="G87" s="189">
        <f t="shared" si="2"/>
        <v>0</v>
      </c>
      <c r="H87" s="288"/>
      <c r="I87" s="128">
        <f>'3 кв'!F87</f>
        <v>0</v>
      </c>
      <c r="K87" s="128"/>
      <c r="L87" s="128"/>
      <c r="M87" s="128"/>
      <c r="N87" s="128"/>
      <c r="O87" s="128"/>
      <c r="P87" s="128"/>
    </row>
    <row r="88" spans="1:18" s="127" customFormat="1">
      <c r="A88" s="158" t="s">
        <v>102</v>
      </c>
      <c r="B88" s="143">
        <v>2170</v>
      </c>
      <c r="C88" s="276">
        <f>'2023'!F88</f>
        <v>0</v>
      </c>
      <c r="D88" s="276">
        <f>F88+'2 кв'!D88</f>
        <v>0</v>
      </c>
      <c r="E88" s="189"/>
      <c r="F88" s="189"/>
      <c r="G88" s="189">
        <f t="shared" si="2"/>
        <v>0</v>
      </c>
      <c r="H88" s="288"/>
      <c r="I88" s="128">
        <f>'3 кв'!F88</f>
        <v>0</v>
      </c>
      <c r="K88" s="128"/>
      <c r="L88" s="128"/>
      <c r="M88" s="128"/>
      <c r="N88" s="128"/>
      <c r="O88" s="128"/>
      <c r="P88" s="128"/>
    </row>
    <row r="89" spans="1:18" s="127" customFormat="1">
      <c r="A89" s="158"/>
      <c r="B89" s="143">
        <v>2171</v>
      </c>
      <c r="C89" s="147"/>
      <c r="D89" s="149"/>
      <c r="E89" s="149"/>
      <c r="F89" s="149"/>
      <c r="G89" s="149">
        <f>F89-E89</f>
        <v>0</v>
      </c>
      <c r="H89" s="288"/>
      <c r="I89" s="128">
        <f>'3 кв'!F89</f>
        <v>0</v>
      </c>
      <c r="K89" s="128"/>
      <c r="L89" s="128"/>
      <c r="M89" s="128"/>
      <c r="N89" s="128"/>
      <c r="O89" s="128"/>
      <c r="P89" s="128"/>
    </row>
    <row r="90" spans="1:18" s="127" customFormat="1">
      <c r="A90" s="146" t="s">
        <v>103</v>
      </c>
      <c r="B90" s="143">
        <v>4000</v>
      </c>
      <c r="C90" s="178">
        <f>C32</f>
        <v>24513.299999999996</v>
      </c>
      <c r="D90" s="178">
        <f>D32</f>
        <v>24088.698</v>
      </c>
      <c r="E90" s="178">
        <f>E32</f>
        <v>8213.8952541119997</v>
      </c>
      <c r="F90" s="178">
        <f>F32</f>
        <v>6923.2999999999993</v>
      </c>
      <c r="G90" s="178">
        <f>G32</f>
        <v>-1290.5952541119993</v>
      </c>
      <c r="H90" s="288">
        <f>(F90/E90)*100</f>
        <v>84.287658727253572</v>
      </c>
      <c r="I90" s="128"/>
      <c r="J90" s="128"/>
      <c r="K90" s="128"/>
      <c r="L90" s="128"/>
      <c r="M90" s="128"/>
      <c r="N90" s="128"/>
      <c r="O90" s="128"/>
      <c r="P90" s="128"/>
    </row>
    <row r="91" spans="1:18" s="127" customFormat="1">
      <c r="A91" s="146" t="s">
        <v>104</v>
      </c>
      <c r="B91" s="143">
        <v>5000</v>
      </c>
      <c r="C91" s="178">
        <f>C48</f>
        <v>22185.9605434</v>
      </c>
      <c r="D91" s="178">
        <f>D48</f>
        <v>22817.272000000004</v>
      </c>
      <c r="E91" s="178">
        <f>E48</f>
        <v>8213.8952541119997</v>
      </c>
      <c r="F91" s="178">
        <f>F48</f>
        <v>6003.2420000000011</v>
      </c>
      <c r="G91" s="178">
        <f>G48</f>
        <v>-2210.6532541119986</v>
      </c>
      <c r="H91" s="288">
        <f>(F91/E91)*100</f>
        <v>73.086420197465841</v>
      </c>
      <c r="I91" s="128"/>
      <c r="J91" s="128"/>
      <c r="K91" s="128"/>
      <c r="L91" s="128"/>
      <c r="M91" s="128"/>
      <c r="N91" s="128"/>
      <c r="O91" s="128"/>
      <c r="P91" s="128"/>
    </row>
    <row r="92" spans="1:18" s="127" customFormat="1">
      <c r="A92" s="162" t="s">
        <v>105</v>
      </c>
      <c r="B92" s="143">
        <v>6000</v>
      </c>
      <c r="C92" s="180">
        <f>C90-C91</f>
        <v>2327.3394565999952</v>
      </c>
      <c r="D92" s="178">
        <f>D90-D91</f>
        <v>1271.4259999999958</v>
      </c>
      <c r="E92" s="180">
        <f>E90-E91</f>
        <v>0</v>
      </c>
      <c r="F92" s="178">
        <f>F90-F91</f>
        <v>920.05799999999817</v>
      </c>
      <c r="G92" s="178">
        <f>F92-E92</f>
        <v>920.05799999999817</v>
      </c>
      <c r="H92" s="284"/>
      <c r="I92" s="128"/>
      <c r="K92" s="128"/>
      <c r="L92" s="128"/>
      <c r="M92" s="128"/>
      <c r="N92" s="128"/>
      <c r="O92" s="128"/>
      <c r="P92" s="128"/>
      <c r="Q92" s="128" t="e">
        <f>I92-#REF!</f>
        <v>#REF!</v>
      </c>
      <c r="R92" s="128" t="e">
        <f>J92-#REF!</f>
        <v>#REF!</v>
      </c>
    </row>
    <row r="93" spans="1:18" s="127" customFormat="1">
      <c r="A93" s="418" t="s">
        <v>106</v>
      </c>
      <c r="B93" s="419"/>
      <c r="C93" s="419"/>
      <c r="D93" s="419"/>
      <c r="E93" s="419"/>
      <c r="F93" s="419"/>
      <c r="G93" s="419"/>
      <c r="H93" s="420"/>
      <c r="I93" s="128">
        <f>'3 кв'!F93</f>
        <v>0</v>
      </c>
      <c r="K93" s="128"/>
      <c r="L93" s="128"/>
      <c r="M93" s="128"/>
      <c r="N93" s="128"/>
      <c r="O93" s="128"/>
      <c r="P93" s="128"/>
    </row>
    <row r="94" spans="1:18" s="127" customFormat="1" ht="31.5">
      <c r="A94" s="163" t="s">
        <v>107</v>
      </c>
      <c r="B94" s="143">
        <v>7100</v>
      </c>
      <c r="C94" s="276">
        <f>'2023'!F94</f>
        <v>22.9</v>
      </c>
      <c r="D94" s="180">
        <f>D95+D96+D97+D98</f>
        <v>19.13</v>
      </c>
      <c r="E94" s="180">
        <f>E95+E96+E97+E98</f>
        <v>7.5</v>
      </c>
      <c r="F94" s="180">
        <f>F95+F96+F97+F98</f>
        <v>1</v>
      </c>
      <c r="G94" s="180">
        <f t="shared" ref="G94:G107" si="4">F94-E94</f>
        <v>-6.5</v>
      </c>
      <c r="H94" s="284">
        <f t="shared" ref="H94:H107" si="5">(F94/E94)*100</f>
        <v>13.333333333333334</v>
      </c>
      <c r="I94" s="128"/>
      <c r="K94" s="128"/>
      <c r="L94" s="128"/>
      <c r="M94" s="128"/>
      <c r="N94" s="128"/>
      <c r="O94" s="128"/>
      <c r="P94" s="128"/>
    </row>
    <row r="95" spans="1:18" s="127" customFormat="1" ht="31.5">
      <c r="A95" s="164" t="s">
        <v>108</v>
      </c>
      <c r="B95" s="143">
        <v>7110</v>
      </c>
      <c r="C95" s="276">
        <f>'2023'!F95</f>
        <v>22.9</v>
      </c>
      <c r="D95" s="276">
        <f>F95+'3 кв'!D95</f>
        <v>19.13</v>
      </c>
      <c r="E95" s="188">
        <f>план!J100</f>
        <v>7.5</v>
      </c>
      <c r="F95" s="196">
        <v>1</v>
      </c>
      <c r="G95" s="190">
        <f t="shared" si="4"/>
        <v>-6.5</v>
      </c>
      <c r="H95" s="290">
        <f t="shared" si="5"/>
        <v>13.333333333333334</v>
      </c>
      <c r="I95" s="128"/>
      <c r="K95" s="128"/>
      <c r="L95" s="128"/>
      <c r="M95" s="128"/>
      <c r="N95" s="128"/>
      <c r="O95" s="128"/>
      <c r="P95" s="128"/>
    </row>
    <row r="96" spans="1:18" s="127" customFormat="1" ht="36" customHeight="1">
      <c r="A96" s="165" t="s">
        <v>109</v>
      </c>
      <c r="B96" s="144">
        <v>7120</v>
      </c>
      <c r="C96" s="276">
        <f>'2023'!F96</f>
        <v>0</v>
      </c>
      <c r="D96" s="276">
        <f>F96+'2 кв'!D96</f>
        <v>0</v>
      </c>
      <c r="E96" s="196"/>
      <c r="F96" s="198"/>
      <c r="G96" s="194">
        <f t="shared" si="4"/>
        <v>0</v>
      </c>
      <c r="H96" s="308"/>
      <c r="I96" s="128"/>
      <c r="K96" s="128"/>
      <c r="L96" s="128"/>
      <c r="M96" s="128"/>
      <c r="N96" s="128"/>
      <c r="O96" s="128"/>
      <c r="P96" s="128"/>
    </row>
    <row r="97" spans="1:16" s="127" customFormat="1">
      <c r="A97" s="166" t="s">
        <v>110</v>
      </c>
      <c r="B97" s="144">
        <v>7130</v>
      </c>
      <c r="C97" s="276">
        <f>'2023'!F97</f>
        <v>0</v>
      </c>
      <c r="D97" s="276">
        <f>F97+'2 кв'!D97</f>
        <v>0</v>
      </c>
      <c r="E97" s="196"/>
      <c r="F97" s="198"/>
      <c r="G97" s="194">
        <f t="shared" si="4"/>
        <v>0</v>
      </c>
      <c r="H97" s="308"/>
      <c r="I97" s="128">
        <f>'3 кв'!F97</f>
        <v>0</v>
      </c>
      <c r="K97" s="128"/>
      <c r="L97" s="128"/>
      <c r="M97" s="128"/>
      <c r="N97" s="128"/>
      <c r="O97" s="128"/>
      <c r="P97" s="128"/>
    </row>
    <row r="98" spans="1:16" s="127" customFormat="1">
      <c r="A98" s="166" t="s">
        <v>111</v>
      </c>
      <c r="B98" s="144">
        <v>7140</v>
      </c>
      <c r="C98" s="276">
        <f>'2023'!F98</f>
        <v>0</v>
      </c>
      <c r="D98" s="302">
        <f>F98+'2 кв'!D98</f>
        <v>0</v>
      </c>
      <c r="E98" s="196"/>
      <c r="F98" s="198"/>
      <c r="G98" s="194">
        <f t="shared" si="4"/>
        <v>0</v>
      </c>
      <c r="H98" s="308"/>
      <c r="I98" s="128">
        <f>'3 кв'!F98</f>
        <v>0</v>
      </c>
      <c r="K98" s="128"/>
      <c r="L98" s="128"/>
      <c r="M98" s="128"/>
      <c r="N98" s="128"/>
      <c r="O98" s="128"/>
      <c r="P98" s="128"/>
    </row>
    <row r="99" spans="1:16" s="127" customFormat="1" ht="31.5">
      <c r="A99" s="167" t="s">
        <v>112</v>
      </c>
      <c r="B99" s="144">
        <v>7200</v>
      </c>
      <c r="C99" s="190">
        <f>C100+C101</f>
        <v>2766.6000000000004</v>
      </c>
      <c r="D99" s="190">
        <f>D100+D101</f>
        <v>2811.7999999999997</v>
      </c>
      <c r="E99" s="190">
        <f>E100+E101</f>
        <v>921.37769999999989</v>
      </c>
      <c r="F99" s="190">
        <f>F100+F101</f>
        <v>722.1</v>
      </c>
      <c r="G99" s="190">
        <f>F99-E99</f>
        <v>-199.27769999999987</v>
      </c>
      <c r="H99" s="290">
        <f t="shared" si="5"/>
        <v>78.37176871113769</v>
      </c>
      <c r="I99" s="128"/>
      <c r="K99" s="128"/>
      <c r="L99" s="128"/>
      <c r="M99" s="128"/>
      <c r="N99" s="128"/>
      <c r="O99" s="128"/>
      <c r="P99" s="128"/>
    </row>
    <row r="100" spans="1:16" s="127" customFormat="1">
      <c r="A100" s="164" t="s">
        <v>113</v>
      </c>
      <c r="B100" s="144">
        <v>7210</v>
      </c>
      <c r="C100" s="276">
        <f>'2023'!F100</f>
        <v>2766.6000000000004</v>
      </c>
      <c r="D100" s="276">
        <f>F100+'3 кв'!D100</f>
        <v>2811.7999999999997</v>
      </c>
      <c r="E100" s="188">
        <f>план!J105</f>
        <v>921.37769999999989</v>
      </c>
      <c r="F100" s="196">
        <v>722.1</v>
      </c>
      <c r="G100" s="190">
        <f t="shared" si="4"/>
        <v>-199.27769999999987</v>
      </c>
      <c r="H100" s="290">
        <f t="shared" si="5"/>
        <v>78.37176871113769</v>
      </c>
      <c r="I100" s="128"/>
      <c r="J100" s="128"/>
      <c r="K100" s="128"/>
      <c r="L100" s="128"/>
      <c r="M100" s="128"/>
      <c r="N100" s="128"/>
      <c r="O100" s="128"/>
      <c r="P100" s="128"/>
    </row>
    <row r="101" spans="1:16" s="127" customFormat="1">
      <c r="A101" s="165" t="s">
        <v>114</v>
      </c>
      <c r="B101" s="145">
        <v>7220</v>
      </c>
      <c r="C101" s="276">
        <f>'2023'!F101</f>
        <v>0</v>
      </c>
      <c r="D101" s="276">
        <f>F101+'3 кв'!D101</f>
        <v>0</v>
      </c>
      <c r="E101" s="188">
        <f>план!J106</f>
        <v>0</v>
      </c>
      <c r="F101" s="196"/>
      <c r="G101" s="190">
        <f t="shared" si="4"/>
        <v>0</v>
      </c>
      <c r="H101" s="290"/>
      <c r="I101" s="128"/>
      <c r="K101" s="128"/>
      <c r="L101" s="128"/>
      <c r="M101" s="128"/>
      <c r="N101" s="128"/>
      <c r="O101" s="128"/>
      <c r="P101" s="128"/>
    </row>
    <row r="102" spans="1:16" s="127" customFormat="1" ht="31.5">
      <c r="A102" s="167" t="s">
        <v>115</v>
      </c>
      <c r="B102" s="144">
        <v>7300</v>
      </c>
      <c r="C102" s="197">
        <f>C103+C104+C105+C106</f>
        <v>3723.3415733999982</v>
      </c>
      <c r="D102" s="197">
        <f>D103+D104+D105+D106</f>
        <v>3791.5120000000015</v>
      </c>
      <c r="E102" s="197">
        <f>E103+E104+E105+E106</f>
        <v>1202.9097749999999</v>
      </c>
      <c r="F102" s="197">
        <f>F103+F104+F105+F106</f>
        <v>1005.4420000000011</v>
      </c>
      <c r="G102" s="190">
        <f t="shared" si="4"/>
        <v>-197.46777499999871</v>
      </c>
      <c r="H102" s="290">
        <f t="shared" si="5"/>
        <v>83.584157423610691</v>
      </c>
      <c r="I102" s="128"/>
      <c r="K102" s="128"/>
      <c r="L102" s="128"/>
      <c r="M102" s="128"/>
      <c r="N102" s="128"/>
      <c r="O102" s="128"/>
      <c r="P102" s="128"/>
    </row>
    <row r="103" spans="1:16" s="127" customFormat="1" ht="32.25" customHeight="1">
      <c r="A103" s="166" t="s">
        <v>116</v>
      </c>
      <c r="B103" s="144">
        <v>7310</v>
      </c>
      <c r="C103" s="276">
        <f>'2023'!F103</f>
        <v>3491.4415733999981</v>
      </c>
      <c r="D103" s="302">
        <f>F103+'3 кв'!D103</f>
        <v>3507.9120000000016</v>
      </c>
      <c r="E103" s="188">
        <f>план!J108</f>
        <v>1126.1282999999999</v>
      </c>
      <c r="F103" s="189">
        <f>F159-F166</f>
        <v>896.64200000000119</v>
      </c>
      <c r="G103" s="196">
        <f t="shared" si="4"/>
        <v>-229.48629999999866</v>
      </c>
      <c r="H103" s="290">
        <f t="shared" si="5"/>
        <v>79.62165589835557</v>
      </c>
      <c r="I103" s="128"/>
      <c r="K103" s="128"/>
      <c r="L103" s="128"/>
      <c r="M103" s="128"/>
      <c r="N103" s="128"/>
      <c r="O103" s="128"/>
      <c r="P103" s="128"/>
    </row>
    <row r="104" spans="1:16" s="127" customFormat="1">
      <c r="A104" s="166" t="s">
        <v>117</v>
      </c>
      <c r="B104" s="144">
        <v>7320</v>
      </c>
      <c r="C104" s="276">
        <f>'2023'!F104</f>
        <v>231.89999999999998</v>
      </c>
      <c r="D104" s="276">
        <f>F104+'3 кв'!D104</f>
        <v>283.60000000000002</v>
      </c>
      <c r="E104" s="188">
        <f>план!J109</f>
        <v>76.781474999999986</v>
      </c>
      <c r="F104" s="189">
        <v>108.8</v>
      </c>
      <c r="G104" s="196">
        <f t="shared" si="4"/>
        <v>32.018525000000011</v>
      </c>
      <c r="H104" s="290">
        <f t="shared" si="5"/>
        <v>141.70084646068602</v>
      </c>
      <c r="I104" s="128"/>
      <c r="J104" s="128"/>
      <c r="K104" s="128"/>
      <c r="L104" s="128"/>
      <c r="M104" s="128"/>
      <c r="N104" s="128"/>
      <c r="O104" s="128"/>
      <c r="P104" s="128"/>
    </row>
    <row r="105" spans="1:16" s="127" customFormat="1" ht="26.25" customHeight="1">
      <c r="A105" s="166" t="s">
        <v>118</v>
      </c>
      <c r="B105" s="144">
        <v>7330</v>
      </c>
      <c r="C105" s="276">
        <f>'2023'!F105</f>
        <v>0</v>
      </c>
      <c r="D105" s="276">
        <f>F105+'2 кв'!D105</f>
        <v>0</v>
      </c>
      <c r="E105" s="189"/>
      <c r="F105" s="189"/>
      <c r="G105" s="190">
        <f t="shared" si="4"/>
        <v>0</v>
      </c>
      <c r="H105" s="290"/>
      <c r="I105" s="128"/>
      <c r="L105" s="128"/>
      <c r="M105" s="128"/>
      <c r="N105" s="128"/>
      <c r="O105" s="128"/>
      <c r="P105" s="128"/>
    </row>
    <row r="106" spans="1:16" s="127" customFormat="1" ht="15.75" customHeight="1">
      <c r="A106" s="166" t="s">
        <v>250</v>
      </c>
      <c r="B106" s="144">
        <v>7340</v>
      </c>
      <c r="C106" s="276">
        <f>'2023'!F106</f>
        <v>0</v>
      </c>
      <c r="D106" s="276">
        <f>F106+'2 кв'!D106</f>
        <v>0</v>
      </c>
      <c r="E106" s="189"/>
      <c r="F106" s="189"/>
      <c r="G106" s="190">
        <f t="shared" si="4"/>
        <v>0</v>
      </c>
      <c r="H106" s="290"/>
      <c r="I106" s="128"/>
      <c r="J106" s="177"/>
      <c r="K106" s="128"/>
      <c r="L106" s="128"/>
      <c r="M106" s="128"/>
      <c r="N106" s="128"/>
      <c r="O106" s="128"/>
      <c r="P106" s="128"/>
    </row>
    <row r="107" spans="1:16" s="127" customFormat="1">
      <c r="A107" s="167" t="s">
        <v>119</v>
      </c>
      <c r="B107" s="144">
        <v>7000</v>
      </c>
      <c r="C107" s="197">
        <f>C102+C99+C94</f>
        <v>6512.8415733999982</v>
      </c>
      <c r="D107" s="197">
        <f>D102+D99+D94</f>
        <v>6622.4420000000018</v>
      </c>
      <c r="E107" s="197">
        <f>E102+E99+E94</f>
        <v>2131.7874749999996</v>
      </c>
      <c r="F107" s="197">
        <f>F102+F99+F94</f>
        <v>1728.5420000000013</v>
      </c>
      <c r="G107" s="190">
        <f t="shared" si="4"/>
        <v>-403.24547499999835</v>
      </c>
      <c r="H107" s="290">
        <f t="shared" si="5"/>
        <v>81.084161543823768</v>
      </c>
      <c r="I107" s="128"/>
      <c r="J107" s="128"/>
      <c r="K107" s="128"/>
      <c r="L107" s="128"/>
      <c r="M107" s="128"/>
      <c r="N107" s="128"/>
      <c r="O107" s="128"/>
      <c r="P107" s="128"/>
    </row>
    <row r="108" spans="1:16" s="127" customFormat="1">
      <c r="A108" s="421" t="s">
        <v>120</v>
      </c>
      <c r="B108" s="422"/>
      <c r="C108" s="422"/>
      <c r="D108" s="422"/>
      <c r="E108" s="422"/>
      <c r="F108" s="422"/>
      <c r="G108" s="422"/>
      <c r="H108" s="423"/>
      <c r="I108" s="128">
        <f>'3 кв'!F108</f>
        <v>0</v>
      </c>
      <c r="K108" s="128"/>
      <c r="L108" s="128"/>
      <c r="M108" s="128"/>
      <c r="N108" s="128"/>
      <c r="O108" s="128"/>
      <c r="P108" s="128"/>
    </row>
    <row r="109" spans="1:16" s="127" customFormat="1">
      <c r="A109" s="167" t="s">
        <v>121</v>
      </c>
      <c r="B109" s="168">
        <v>8000</v>
      </c>
      <c r="C109" s="152">
        <f>C110+C111+C112+C113+C114+C115</f>
        <v>0</v>
      </c>
      <c r="D109" s="152">
        <f>D110+D111+D112+D113+D114+D115</f>
        <v>0</v>
      </c>
      <c r="E109" s="152">
        <f>E110+E111+E112+E113+E114+E115</f>
        <v>0</v>
      </c>
      <c r="F109" s="152">
        <f>F110+F111+F112+F113+F114+F115</f>
        <v>0</v>
      </c>
      <c r="G109" s="152">
        <f t="shared" ref="G109:G120" si="6">F109-E109</f>
        <v>0</v>
      </c>
      <c r="H109" s="153"/>
      <c r="I109" s="128">
        <f>'3 кв'!F109</f>
        <v>0</v>
      </c>
      <c r="K109" s="128"/>
      <c r="L109" s="128"/>
      <c r="M109" s="128"/>
      <c r="N109" s="128"/>
      <c r="O109" s="128"/>
      <c r="P109" s="128"/>
    </row>
    <row r="110" spans="1:16" s="127" customFormat="1">
      <c r="A110" s="164" t="s">
        <v>122</v>
      </c>
      <c r="B110" s="168">
        <v>8010</v>
      </c>
      <c r="C110" s="276">
        <f>'2023'!F110</f>
        <v>0</v>
      </c>
      <c r="D110" s="149"/>
      <c r="E110" s="149"/>
      <c r="F110" s="149"/>
      <c r="G110" s="152">
        <f t="shared" si="6"/>
        <v>0</v>
      </c>
      <c r="H110" s="153"/>
      <c r="I110" s="128">
        <f>'3 кв'!F110</f>
        <v>0</v>
      </c>
      <c r="K110" s="128"/>
      <c r="L110" s="128"/>
      <c r="M110" s="128"/>
      <c r="N110" s="128"/>
      <c r="O110" s="128"/>
      <c r="P110" s="128"/>
    </row>
    <row r="111" spans="1:16" s="127" customFormat="1">
      <c r="A111" s="164" t="s">
        <v>123</v>
      </c>
      <c r="B111" s="168">
        <v>8020</v>
      </c>
      <c r="C111" s="276">
        <f>'2023'!F111</f>
        <v>0</v>
      </c>
      <c r="D111" s="149"/>
      <c r="E111" s="149"/>
      <c r="F111" s="149"/>
      <c r="G111" s="152">
        <f t="shared" si="6"/>
        <v>0</v>
      </c>
      <c r="H111" s="153"/>
      <c r="I111" s="128">
        <f>'3 кв'!F111</f>
        <v>0</v>
      </c>
      <c r="K111" s="128"/>
      <c r="L111" s="128"/>
      <c r="M111" s="128"/>
      <c r="N111" s="128"/>
      <c r="O111" s="128"/>
      <c r="P111" s="128"/>
    </row>
    <row r="112" spans="1:16" s="127" customFormat="1" ht="28.5" customHeight="1">
      <c r="A112" s="164" t="s">
        <v>124</v>
      </c>
      <c r="B112" s="168">
        <v>8030</v>
      </c>
      <c r="C112" s="276">
        <f>'2023'!F112</f>
        <v>0</v>
      </c>
      <c r="D112" s="149"/>
      <c r="E112" s="149"/>
      <c r="F112" s="149"/>
      <c r="G112" s="152">
        <f t="shared" si="6"/>
        <v>0</v>
      </c>
      <c r="H112" s="153"/>
      <c r="I112" s="128">
        <f>'3 кв'!F112</f>
        <v>0</v>
      </c>
      <c r="K112" s="128"/>
      <c r="L112" s="128"/>
      <c r="M112" s="128"/>
      <c r="N112" s="128"/>
      <c r="O112" s="128"/>
      <c r="P112" s="128"/>
    </row>
    <row r="113" spans="1:16" s="127" customFormat="1">
      <c r="A113" s="164" t="s">
        <v>125</v>
      </c>
      <c r="B113" s="168">
        <v>8040</v>
      </c>
      <c r="C113" s="276">
        <f>'2023'!F113</f>
        <v>0</v>
      </c>
      <c r="D113" s="149"/>
      <c r="E113" s="149"/>
      <c r="F113" s="149"/>
      <c r="G113" s="152">
        <f t="shared" si="6"/>
        <v>0</v>
      </c>
      <c r="H113" s="153"/>
      <c r="I113" s="128">
        <f>'3 кв'!F113</f>
        <v>0</v>
      </c>
      <c r="K113" s="128"/>
      <c r="L113" s="128"/>
      <c r="M113" s="128"/>
      <c r="N113" s="128"/>
      <c r="O113" s="128"/>
      <c r="P113" s="128"/>
    </row>
    <row r="114" spans="1:16" s="127" customFormat="1" ht="31.5">
      <c r="A114" s="164" t="s">
        <v>126</v>
      </c>
      <c r="B114" s="168">
        <v>8050</v>
      </c>
      <c r="C114" s="276">
        <f>'2023'!F114</f>
        <v>0</v>
      </c>
      <c r="D114" s="149"/>
      <c r="E114" s="149"/>
      <c r="F114" s="149"/>
      <c r="G114" s="152">
        <f t="shared" si="6"/>
        <v>0</v>
      </c>
      <c r="H114" s="153"/>
      <c r="I114" s="128">
        <f>'3 кв'!F114</f>
        <v>0</v>
      </c>
      <c r="K114" s="128"/>
      <c r="L114" s="128"/>
      <c r="M114" s="128"/>
      <c r="N114" s="128"/>
      <c r="O114" s="128"/>
      <c r="P114" s="128"/>
    </row>
    <row r="115" spans="1:16" s="127" customFormat="1">
      <c r="A115" s="164" t="s">
        <v>127</v>
      </c>
      <c r="B115" s="169">
        <v>8060</v>
      </c>
      <c r="C115" s="276">
        <f>'2023'!F115</f>
        <v>0</v>
      </c>
      <c r="D115" s="149"/>
      <c r="E115" s="149"/>
      <c r="F115" s="149"/>
      <c r="G115" s="152">
        <f t="shared" si="6"/>
        <v>0</v>
      </c>
      <c r="H115" s="153"/>
      <c r="I115" s="128">
        <f>'3 кв'!F115</f>
        <v>0</v>
      </c>
      <c r="K115" s="128"/>
      <c r="L115" s="128"/>
      <c r="M115" s="128"/>
      <c r="N115" s="128"/>
      <c r="O115" s="128"/>
      <c r="P115" s="128"/>
    </row>
    <row r="116" spans="1:16" s="127" customFormat="1" ht="18.75" customHeight="1">
      <c r="A116" s="167" t="s">
        <v>128</v>
      </c>
      <c r="B116" s="169">
        <v>8100</v>
      </c>
      <c r="C116" s="276">
        <f>'2023'!F116</f>
        <v>0</v>
      </c>
      <c r="D116" s="152">
        <f>D117+D118+D119+D120</f>
        <v>0</v>
      </c>
      <c r="E116" s="152">
        <f>E117+E118+E119+E120</f>
        <v>0</v>
      </c>
      <c r="F116" s="152">
        <f>F117+F118+F119+F120</f>
        <v>0</v>
      </c>
      <c r="G116" s="152">
        <f t="shared" si="6"/>
        <v>0</v>
      </c>
      <c r="H116" s="153"/>
      <c r="I116" s="128">
        <f>'3 кв'!F116</f>
        <v>0</v>
      </c>
      <c r="K116" s="128"/>
      <c r="L116" s="128"/>
      <c r="M116" s="128"/>
      <c r="N116" s="128"/>
      <c r="O116" s="128"/>
      <c r="P116" s="128"/>
    </row>
    <row r="117" spans="1:16" s="127" customFormat="1">
      <c r="A117" s="165" t="s">
        <v>129</v>
      </c>
      <c r="B117" s="169" t="s">
        <v>130</v>
      </c>
      <c r="C117" s="276">
        <f>'2023'!F117</f>
        <v>0</v>
      </c>
      <c r="D117" s="149"/>
      <c r="E117" s="149"/>
      <c r="F117" s="149"/>
      <c r="G117" s="152">
        <f t="shared" si="6"/>
        <v>0</v>
      </c>
      <c r="H117" s="153"/>
      <c r="I117" s="128">
        <f>'3 кв'!F117</f>
        <v>0</v>
      </c>
      <c r="K117" s="128"/>
      <c r="L117" s="128"/>
      <c r="M117" s="128"/>
      <c r="N117" s="128"/>
      <c r="O117" s="128"/>
      <c r="P117" s="128"/>
    </row>
    <row r="118" spans="1:16" s="127" customFormat="1">
      <c r="A118" s="165" t="s">
        <v>131</v>
      </c>
      <c r="B118" s="169" t="s">
        <v>132</v>
      </c>
      <c r="C118" s="276">
        <f>'2023'!F118</f>
        <v>0</v>
      </c>
      <c r="D118" s="149"/>
      <c r="E118" s="149"/>
      <c r="F118" s="149"/>
      <c r="G118" s="152">
        <f t="shared" si="6"/>
        <v>0</v>
      </c>
      <c r="H118" s="153"/>
      <c r="I118" s="128">
        <f>'3 кв'!F118</f>
        <v>0</v>
      </c>
      <c r="K118" s="128"/>
      <c r="L118" s="128"/>
      <c r="M118" s="128"/>
      <c r="N118" s="128"/>
      <c r="O118" s="128"/>
      <c r="P118" s="128"/>
    </row>
    <row r="119" spans="1:16" s="127" customFormat="1">
      <c r="A119" s="165" t="s">
        <v>133</v>
      </c>
      <c r="B119" s="169" t="s">
        <v>134</v>
      </c>
      <c r="C119" s="276">
        <f>'2023'!F119</f>
        <v>0</v>
      </c>
      <c r="D119" s="149"/>
      <c r="E119" s="149"/>
      <c r="F119" s="149"/>
      <c r="G119" s="152">
        <f t="shared" si="6"/>
        <v>0</v>
      </c>
      <c r="H119" s="153"/>
      <c r="I119" s="128">
        <f>'3 кв'!F119</f>
        <v>0</v>
      </c>
      <c r="K119" s="128"/>
      <c r="L119" s="128"/>
      <c r="M119" s="128"/>
      <c r="N119" s="128"/>
      <c r="O119" s="128"/>
      <c r="P119" s="128"/>
    </row>
    <row r="120" spans="1:16" s="127" customFormat="1">
      <c r="A120" s="165" t="s">
        <v>135</v>
      </c>
      <c r="B120" s="169" t="s">
        <v>136</v>
      </c>
      <c r="C120" s="276">
        <f>'2023'!F120</f>
        <v>0</v>
      </c>
      <c r="D120" s="149"/>
      <c r="E120" s="149"/>
      <c r="F120" s="149"/>
      <c r="G120" s="152">
        <f t="shared" si="6"/>
        <v>0</v>
      </c>
      <c r="H120" s="153"/>
      <c r="I120" s="128">
        <f>'3 кв'!F120</f>
        <v>0</v>
      </c>
      <c r="K120" s="128"/>
      <c r="L120" s="128"/>
      <c r="M120" s="128"/>
      <c r="N120" s="128"/>
      <c r="O120" s="128"/>
      <c r="P120" s="128"/>
    </row>
    <row r="121" spans="1:16" s="127" customFormat="1">
      <c r="A121" s="424" t="s">
        <v>137</v>
      </c>
      <c r="B121" s="425"/>
      <c r="C121" s="425"/>
      <c r="D121" s="425"/>
      <c r="E121" s="425"/>
      <c r="F121" s="425"/>
      <c r="G121" s="425"/>
      <c r="H121" s="426"/>
      <c r="I121" s="128">
        <f>'3 кв'!F121</f>
        <v>0</v>
      </c>
      <c r="K121" s="128"/>
      <c r="L121" s="128"/>
      <c r="M121" s="128"/>
      <c r="N121" s="128"/>
      <c r="O121" s="128"/>
      <c r="P121" s="128"/>
    </row>
    <row r="122" spans="1:16" s="127" customFormat="1">
      <c r="A122" s="166" t="s">
        <v>138</v>
      </c>
      <c r="B122" s="143">
        <v>9010</v>
      </c>
      <c r="C122" s="170">
        <f>C92/C32*100</f>
        <v>9.494190731562032</v>
      </c>
      <c r="D122" s="170">
        <f>D92/D32*100</f>
        <v>5.2781017886479198</v>
      </c>
      <c r="E122" s="170">
        <f>E92/E32*100</f>
        <v>0</v>
      </c>
      <c r="F122" s="170">
        <f>F92/F32*100</f>
        <v>13.289298455938617</v>
      </c>
      <c r="G122" s="170"/>
      <c r="H122" s="148"/>
      <c r="I122" s="128"/>
      <c r="K122" s="128"/>
      <c r="L122" s="128"/>
      <c r="M122" s="128"/>
      <c r="N122" s="128"/>
      <c r="O122" s="128"/>
      <c r="P122" s="128"/>
    </row>
    <row r="123" spans="1:16" s="127" customFormat="1">
      <c r="A123" s="166" t="s">
        <v>139</v>
      </c>
      <c r="B123" s="143">
        <v>9020</v>
      </c>
      <c r="C123" s="170">
        <f>C92/C135*100</f>
        <v>70.82160113809249</v>
      </c>
      <c r="D123" s="170">
        <f>D92/D135*100</f>
        <v>26.164797398802207</v>
      </c>
      <c r="E123" s="170"/>
      <c r="F123" s="170">
        <f>F92/F135*100</f>
        <v>18.933961681723666</v>
      </c>
      <c r="G123" s="170"/>
      <c r="H123" s="148"/>
      <c r="I123" s="128"/>
      <c r="K123" s="128"/>
      <c r="L123" s="128"/>
      <c r="M123" s="128"/>
      <c r="N123" s="128"/>
      <c r="O123" s="128"/>
      <c r="P123" s="128"/>
    </row>
    <row r="124" spans="1:16" s="127" customFormat="1">
      <c r="A124" s="166" t="s">
        <v>140</v>
      </c>
      <c r="B124" s="143">
        <v>9030</v>
      </c>
      <c r="C124" s="170">
        <f>C92/C141*100</f>
        <v>134.92605116818339</v>
      </c>
      <c r="D124" s="170">
        <f>D92/D141*100</f>
        <v>41.142478076562014</v>
      </c>
      <c r="E124" s="170"/>
      <c r="F124" s="170">
        <f>F92/F141*100</f>
        <v>29.772449276769187</v>
      </c>
      <c r="G124" s="170"/>
      <c r="H124" s="148"/>
      <c r="I124" s="128"/>
      <c r="K124" s="128"/>
      <c r="L124" s="128"/>
      <c r="M124" s="128"/>
      <c r="N124" s="128"/>
      <c r="O124" s="128"/>
      <c r="P124" s="128"/>
    </row>
    <row r="125" spans="1:16" s="127" customFormat="1">
      <c r="A125" s="166" t="s">
        <v>141</v>
      </c>
      <c r="B125" s="143">
        <v>9040</v>
      </c>
      <c r="C125" s="170">
        <f>C141/(C136+C137)</f>
        <v>1.1047844744763977</v>
      </c>
      <c r="D125" s="170">
        <f>D141/(D136+D137)</f>
        <v>1.7469191633691352</v>
      </c>
      <c r="E125" s="170"/>
      <c r="F125" s="170">
        <f>F141/(F136+F137)</f>
        <v>1.7469191633691352</v>
      </c>
      <c r="G125" s="170"/>
      <c r="H125" s="148"/>
      <c r="I125" s="128"/>
      <c r="K125" s="128"/>
      <c r="L125" s="128"/>
      <c r="M125" s="128"/>
      <c r="N125" s="128"/>
      <c r="O125" s="128"/>
      <c r="P125" s="128"/>
    </row>
    <row r="126" spans="1:16" s="127" customFormat="1">
      <c r="A126" s="166" t="s">
        <v>142</v>
      </c>
      <c r="B126" s="143">
        <v>9050</v>
      </c>
      <c r="C126" s="170">
        <f>C131/C130</f>
        <v>0.70514897774919294</v>
      </c>
      <c r="D126" s="170">
        <f>D131/D130</f>
        <v>0.67737489635389825</v>
      </c>
      <c r="E126" s="170"/>
      <c r="F126" s="170">
        <f>F131/F130</f>
        <v>0.67737489635389825</v>
      </c>
      <c r="G126" s="170"/>
      <c r="H126" s="148"/>
      <c r="I126" s="128"/>
      <c r="K126" s="128"/>
      <c r="L126" s="128"/>
      <c r="M126" s="128"/>
      <c r="N126" s="128"/>
      <c r="O126" s="128"/>
      <c r="P126" s="128"/>
    </row>
    <row r="127" spans="1:16" s="127" customFormat="1">
      <c r="A127" s="418" t="s">
        <v>143</v>
      </c>
      <c r="B127" s="419"/>
      <c r="C127" s="419"/>
      <c r="D127" s="419"/>
      <c r="E127" s="419"/>
      <c r="F127" s="419"/>
      <c r="G127" s="419"/>
      <c r="H127" s="420"/>
      <c r="I127" s="128"/>
      <c r="K127" s="128"/>
      <c r="L127" s="128"/>
      <c r="M127" s="128"/>
      <c r="N127" s="128"/>
      <c r="O127" s="128"/>
      <c r="P127" s="128"/>
    </row>
    <row r="128" spans="1:16" s="127" customFormat="1">
      <c r="A128" s="166" t="s">
        <v>144</v>
      </c>
      <c r="B128" s="143">
        <v>10000</v>
      </c>
      <c r="C128" s="204">
        <f>'2023'!F128</f>
        <v>2467.9</v>
      </c>
      <c r="D128" s="193">
        <v>2921.3</v>
      </c>
      <c r="E128" s="193">
        <f>E129</f>
        <v>0</v>
      </c>
      <c r="F128" s="193">
        <f>D128</f>
        <v>2921.3</v>
      </c>
      <c r="G128" s="198"/>
      <c r="H128" s="309"/>
      <c r="I128" s="128"/>
      <c r="K128" s="128"/>
      <c r="L128" s="128"/>
      <c r="M128" s="128"/>
      <c r="N128" s="128"/>
      <c r="O128" s="128"/>
      <c r="P128" s="128"/>
    </row>
    <row r="129" spans="1:16" s="127" customFormat="1">
      <c r="A129" s="166" t="s">
        <v>145</v>
      </c>
      <c r="B129" s="143">
        <v>10001</v>
      </c>
      <c r="C129" s="198">
        <f>C130-C131</f>
        <v>2383.9000000000005</v>
      </c>
      <c r="D129" s="198">
        <f>D130-D131</f>
        <v>2879.3</v>
      </c>
      <c r="E129" s="204">
        <f>E130-E131</f>
        <v>0</v>
      </c>
      <c r="F129" s="204">
        <f>F130-F131</f>
        <v>2879.3</v>
      </c>
      <c r="G129" s="198"/>
      <c r="H129" s="309"/>
      <c r="I129" s="128"/>
      <c r="K129" s="128"/>
      <c r="L129" s="128"/>
      <c r="M129" s="128"/>
      <c r="N129" s="128"/>
      <c r="O129" s="128"/>
      <c r="P129" s="128"/>
    </row>
    <row r="130" spans="1:16" s="127" customFormat="1">
      <c r="A130" s="166" t="s">
        <v>146</v>
      </c>
      <c r="B130" s="143">
        <v>10002</v>
      </c>
      <c r="C130" s="204">
        <f>'2023'!F130</f>
        <v>8085.1</v>
      </c>
      <c r="D130" s="205">
        <v>8924.6</v>
      </c>
      <c r="E130" s="193"/>
      <c r="F130" s="204">
        <f>D130</f>
        <v>8924.6</v>
      </c>
      <c r="G130" s="198"/>
      <c r="H130" s="309"/>
      <c r="I130" s="128"/>
      <c r="K130" s="128"/>
      <c r="L130" s="128"/>
      <c r="M130" s="128"/>
      <c r="N130" s="128"/>
      <c r="O130" s="128"/>
      <c r="P130" s="128"/>
    </row>
    <row r="131" spans="1:16" s="127" customFormat="1">
      <c r="A131" s="166" t="s">
        <v>147</v>
      </c>
      <c r="B131" s="143">
        <v>10003</v>
      </c>
      <c r="C131" s="204">
        <f>'2023'!F131</f>
        <v>5701.2</v>
      </c>
      <c r="D131" s="205">
        <v>6045.3</v>
      </c>
      <c r="E131" s="193"/>
      <c r="F131" s="204">
        <f>D131</f>
        <v>6045.3</v>
      </c>
      <c r="G131" s="198"/>
      <c r="H131" s="309"/>
      <c r="I131" s="128"/>
      <c r="K131" s="128"/>
      <c r="L131" s="128"/>
      <c r="M131" s="128"/>
      <c r="N131" s="128"/>
      <c r="O131" s="128"/>
      <c r="P131" s="128"/>
    </row>
    <row r="132" spans="1:16" s="127" customFormat="1">
      <c r="A132" s="166" t="s">
        <v>148</v>
      </c>
      <c r="B132" s="143">
        <v>10010</v>
      </c>
      <c r="C132" s="204">
        <f>'2023'!F132</f>
        <v>818.3</v>
      </c>
      <c r="D132" s="204">
        <v>1938</v>
      </c>
      <c r="E132" s="204">
        <f>E133+E134</f>
        <v>0</v>
      </c>
      <c r="F132" s="204">
        <f>D132</f>
        <v>1938</v>
      </c>
      <c r="G132" s="198"/>
      <c r="H132" s="309"/>
      <c r="I132" s="128"/>
      <c r="K132" s="128"/>
      <c r="L132" s="128"/>
      <c r="M132" s="128"/>
      <c r="N132" s="128"/>
      <c r="O132" s="128"/>
      <c r="P132" s="128"/>
    </row>
    <row r="133" spans="1:16" s="127" customFormat="1">
      <c r="A133" s="166" t="s">
        <v>149</v>
      </c>
      <c r="B133" s="143">
        <v>10011</v>
      </c>
      <c r="C133" s="204">
        <f>'2023'!F133</f>
        <v>97.7</v>
      </c>
      <c r="D133" s="204">
        <v>1075.3</v>
      </c>
      <c r="E133" s="193"/>
      <c r="F133" s="204">
        <f>D133</f>
        <v>1075.3</v>
      </c>
      <c r="G133" s="198"/>
      <c r="H133" s="309"/>
      <c r="I133" s="128"/>
      <c r="K133" s="316"/>
      <c r="L133" s="128"/>
      <c r="M133" s="128"/>
      <c r="N133" s="128"/>
      <c r="O133" s="128"/>
      <c r="P133" s="128"/>
    </row>
    <row r="134" spans="1:16" s="127" customFormat="1">
      <c r="A134" s="166" t="s">
        <v>150</v>
      </c>
      <c r="B134" s="143">
        <v>10012</v>
      </c>
      <c r="C134" s="204">
        <f>'2023'!F134</f>
        <v>7.5</v>
      </c>
      <c r="D134" s="204">
        <f>10.3+7.3</f>
        <v>17.600000000000001</v>
      </c>
      <c r="E134" s="193"/>
      <c r="F134" s="204">
        <f>D134</f>
        <v>17.600000000000001</v>
      </c>
      <c r="G134" s="198"/>
      <c r="H134" s="309"/>
      <c r="I134" s="128"/>
      <c r="K134" s="128"/>
      <c r="L134" s="128"/>
      <c r="M134" s="128"/>
      <c r="N134" s="128"/>
      <c r="O134" s="128"/>
      <c r="P134" s="128"/>
    </row>
    <row r="135" spans="1:16" s="127" customFormat="1">
      <c r="A135" s="167" t="s">
        <v>151</v>
      </c>
      <c r="B135" s="143">
        <v>10020</v>
      </c>
      <c r="C135" s="310">
        <f>C128+C132</f>
        <v>3286.2</v>
      </c>
      <c r="D135" s="311">
        <f>D128+D132</f>
        <v>4859.3</v>
      </c>
      <c r="E135" s="310">
        <f>E128+E132</f>
        <v>0</v>
      </c>
      <c r="F135" s="310">
        <f>F128+F132</f>
        <v>4859.3</v>
      </c>
      <c r="G135" s="304"/>
      <c r="H135" s="300"/>
      <c r="I135" s="128"/>
      <c r="K135" s="128"/>
      <c r="L135" s="128"/>
      <c r="M135" s="128"/>
      <c r="N135" s="128"/>
      <c r="O135" s="128"/>
      <c r="P135" s="128"/>
    </row>
    <row r="136" spans="1:16" s="127" customFormat="1">
      <c r="A136" s="166" t="s">
        <v>152</v>
      </c>
      <c r="B136" s="143">
        <v>10030</v>
      </c>
      <c r="C136" s="204"/>
      <c r="D136" s="204"/>
      <c r="E136" s="193"/>
      <c r="F136" s="204">
        <f>D136</f>
        <v>0</v>
      </c>
      <c r="G136" s="198">
        <f>D136-E136</f>
        <v>0</v>
      </c>
      <c r="H136" s="309"/>
      <c r="I136" s="128"/>
      <c r="K136" s="128"/>
      <c r="L136" s="128"/>
      <c r="M136" s="128"/>
      <c r="N136" s="128"/>
      <c r="O136" s="128"/>
      <c r="P136" s="128"/>
    </row>
    <row r="137" spans="1:16" s="127" customFormat="1">
      <c r="A137" s="166" t="s">
        <v>153</v>
      </c>
      <c r="B137" s="143">
        <v>10040</v>
      </c>
      <c r="C137" s="204">
        <f>'2023'!F137</f>
        <v>1561.3</v>
      </c>
      <c r="D137" s="204">
        <v>1769</v>
      </c>
      <c r="E137" s="193"/>
      <c r="F137" s="204">
        <f>D137</f>
        <v>1769</v>
      </c>
      <c r="G137" s="198"/>
      <c r="H137" s="309"/>
      <c r="I137" s="128"/>
      <c r="K137" s="128"/>
      <c r="L137" s="128"/>
      <c r="M137" s="128"/>
      <c r="N137" s="128"/>
      <c r="O137" s="128"/>
      <c r="P137" s="128"/>
    </row>
    <row r="138" spans="1:16" s="127" customFormat="1">
      <c r="A138" s="167" t="s">
        <v>154</v>
      </c>
      <c r="B138" s="143">
        <v>10050</v>
      </c>
      <c r="C138" s="194">
        <f>SUM(C136:C137)</f>
        <v>1561.3</v>
      </c>
      <c r="D138" s="312">
        <f>SUM(D136:D137)</f>
        <v>1769</v>
      </c>
      <c r="E138" s="312">
        <f>SUM(E136:E137)</f>
        <v>0</v>
      </c>
      <c r="F138" s="315">
        <f>SUM(F136:F137)</f>
        <v>1769</v>
      </c>
      <c r="G138" s="304"/>
      <c r="H138" s="300"/>
      <c r="I138" s="128"/>
      <c r="K138" s="128"/>
      <c r="L138" s="128"/>
      <c r="M138" s="128"/>
      <c r="N138" s="128"/>
      <c r="O138" s="128"/>
      <c r="P138" s="128"/>
    </row>
    <row r="139" spans="1:16" s="127" customFormat="1">
      <c r="A139" s="166" t="s">
        <v>155</v>
      </c>
      <c r="B139" s="143">
        <v>10060</v>
      </c>
      <c r="C139" s="193"/>
      <c r="D139" s="193"/>
      <c r="E139" s="193"/>
      <c r="F139" s="204"/>
      <c r="G139" s="198"/>
      <c r="H139" s="309"/>
      <c r="I139" s="128"/>
      <c r="K139" s="128"/>
      <c r="L139" s="128"/>
      <c r="M139" s="128"/>
      <c r="N139" s="128"/>
      <c r="O139" s="128"/>
      <c r="P139" s="128"/>
    </row>
    <row r="140" spans="1:16" s="127" customFormat="1">
      <c r="A140" s="166" t="s">
        <v>156</v>
      </c>
      <c r="B140" s="143">
        <v>10070</v>
      </c>
      <c r="C140" s="193"/>
      <c r="D140" s="193"/>
      <c r="E140" s="193"/>
      <c r="F140" s="198"/>
      <c r="G140" s="198"/>
      <c r="H140" s="309"/>
      <c r="I140" s="128"/>
      <c r="K140" s="128"/>
      <c r="L140" s="128"/>
      <c r="M140" s="128"/>
      <c r="N140" s="128"/>
      <c r="O140" s="128"/>
      <c r="P140" s="128"/>
    </row>
    <row r="141" spans="1:16" s="127" customFormat="1">
      <c r="A141" s="167" t="s">
        <v>157</v>
      </c>
      <c r="B141" s="143">
        <v>10080</v>
      </c>
      <c r="C141" s="300">
        <f>C135-C138</f>
        <v>1724.8999999999999</v>
      </c>
      <c r="D141" s="300">
        <f>D135-D138</f>
        <v>3090.3</v>
      </c>
      <c r="E141" s="300">
        <f>E135-E138</f>
        <v>0</v>
      </c>
      <c r="F141" s="300">
        <f>F135-F138</f>
        <v>3090.3</v>
      </c>
      <c r="G141" s="304"/>
      <c r="H141" s="300"/>
      <c r="I141" s="128"/>
      <c r="K141" s="128"/>
      <c r="L141" s="128"/>
      <c r="M141" s="128"/>
      <c r="N141" s="128"/>
      <c r="O141" s="128"/>
      <c r="P141" s="128"/>
    </row>
    <row r="142" spans="1:16" s="127" customFormat="1">
      <c r="A142" s="421" t="s">
        <v>158</v>
      </c>
      <c r="B142" s="422"/>
      <c r="C142" s="422"/>
      <c r="D142" s="422"/>
      <c r="E142" s="422"/>
      <c r="F142" s="422"/>
      <c r="G142" s="422"/>
      <c r="H142" s="423"/>
      <c r="I142" s="128">
        <f>'3 кв'!F142</f>
        <v>0</v>
      </c>
      <c r="K142" s="128"/>
      <c r="L142" s="128"/>
      <c r="M142" s="128"/>
      <c r="N142" s="128"/>
      <c r="O142" s="128"/>
      <c r="P142" s="128"/>
    </row>
    <row r="143" spans="1:16" s="127" customFormat="1">
      <c r="A143" s="167" t="s">
        <v>159</v>
      </c>
      <c r="B143" s="173" t="s">
        <v>160</v>
      </c>
      <c r="C143" s="180">
        <f>SUM(C144:C146)</f>
        <v>0</v>
      </c>
      <c r="D143" s="180">
        <f>SUM(D144:D146)</f>
        <v>0</v>
      </c>
      <c r="E143" s="180">
        <f>SUM(E144:E146)</f>
        <v>0</v>
      </c>
      <c r="F143" s="180">
        <f>SUM(F144:F146)</f>
        <v>0</v>
      </c>
      <c r="G143" s="180">
        <f t="shared" ref="G143:G150" si="7">F143-E143</f>
        <v>0</v>
      </c>
      <c r="H143" s="179"/>
      <c r="I143" s="128">
        <f>'3 кв'!F143</f>
        <v>0</v>
      </c>
      <c r="K143" s="128"/>
      <c r="L143" s="128"/>
      <c r="M143" s="128"/>
      <c r="N143" s="128"/>
      <c r="O143" s="128"/>
      <c r="P143" s="128"/>
    </row>
    <row r="144" spans="1:16" s="127" customFormat="1">
      <c r="A144" s="166" t="s">
        <v>161</v>
      </c>
      <c r="B144" s="173" t="s">
        <v>162</v>
      </c>
      <c r="C144" s="149"/>
      <c r="D144" s="149"/>
      <c r="E144" s="149"/>
      <c r="F144" s="181"/>
      <c r="G144" s="181">
        <f t="shared" si="7"/>
        <v>0</v>
      </c>
      <c r="H144" s="182"/>
      <c r="I144" s="128">
        <f>'3 кв'!F144</f>
        <v>0</v>
      </c>
      <c r="K144" s="128"/>
      <c r="L144" s="128"/>
      <c r="M144" s="128"/>
      <c r="N144" s="128"/>
      <c r="O144" s="128"/>
      <c r="P144" s="128"/>
    </row>
    <row r="145" spans="1:16" s="127" customFormat="1">
      <c r="A145" s="166" t="s">
        <v>163</v>
      </c>
      <c r="B145" s="173" t="s">
        <v>164</v>
      </c>
      <c r="C145" s="149"/>
      <c r="D145" s="149"/>
      <c r="E145" s="149"/>
      <c r="F145" s="181"/>
      <c r="G145" s="181">
        <f t="shared" si="7"/>
        <v>0</v>
      </c>
      <c r="H145" s="182"/>
      <c r="I145" s="128">
        <f>'3 кв'!F145</f>
        <v>0</v>
      </c>
      <c r="K145" s="128"/>
      <c r="L145" s="128"/>
      <c r="M145" s="128"/>
      <c r="N145" s="128"/>
      <c r="O145" s="128"/>
      <c r="P145" s="128"/>
    </row>
    <row r="146" spans="1:16" s="127" customFormat="1">
      <c r="A146" s="166" t="s">
        <v>165</v>
      </c>
      <c r="B146" s="173" t="s">
        <v>166</v>
      </c>
      <c r="C146" s="149"/>
      <c r="D146" s="149"/>
      <c r="E146" s="149"/>
      <c r="F146" s="181"/>
      <c r="G146" s="181">
        <f t="shared" si="7"/>
        <v>0</v>
      </c>
      <c r="H146" s="182"/>
      <c r="I146" s="128">
        <f>'3 кв'!F146</f>
        <v>0</v>
      </c>
      <c r="K146" s="128"/>
      <c r="L146" s="128"/>
      <c r="M146" s="128"/>
      <c r="N146" s="128"/>
      <c r="O146" s="128"/>
      <c r="P146" s="128"/>
    </row>
    <row r="147" spans="1:16" s="127" customFormat="1">
      <c r="A147" s="167" t="s">
        <v>167</v>
      </c>
      <c r="B147" s="173" t="s">
        <v>168</v>
      </c>
      <c r="C147" s="180">
        <f>SUM(C148:C150)</f>
        <v>0</v>
      </c>
      <c r="D147" s="180">
        <f>SUM(D148:D150)</f>
        <v>0</v>
      </c>
      <c r="E147" s="180">
        <f>SUM(E148:E150)</f>
        <v>0</v>
      </c>
      <c r="F147" s="180">
        <f>SUM(F148:F150)</f>
        <v>0</v>
      </c>
      <c r="G147" s="180">
        <f t="shared" si="7"/>
        <v>0</v>
      </c>
      <c r="H147" s="179"/>
      <c r="I147" s="128">
        <f>'3 кв'!F147</f>
        <v>0</v>
      </c>
      <c r="K147" s="128"/>
      <c r="L147" s="128"/>
      <c r="M147" s="128"/>
      <c r="N147" s="128"/>
      <c r="O147" s="128"/>
      <c r="P147" s="128"/>
    </row>
    <row r="148" spans="1:16" s="127" customFormat="1">
      <c r="A148" s="166" t="s">
        <v>161</v>
      </c>
      <c r="B148" s="173" t="s">
        <v>169</v>
      </c>
      <c r="C148" s="149"/>
      <c r="D148" s="149"/>
      <c r="E148" s="149"/>
      <c r="F148" s="149"/>
      <c r="G148" s="152">
        <f t="shared" si="7"/>
        <v>0</v>
      </c>
      <c r="H148" s="153"/>
      <c r="I148" s="128">
        <f>'3 кв'!F148</f>
        <v>0</v>
      </c>
      <c r="K148" s="128"/>
      <c r="L148" s="128"/>
      <c r="M148" s="128"/>
      <c r="N148" s="128"/>
      <c r="O148" s="128"/>
      <c r="P148" s="128"/>
    </row>
    <row r="149" spans="1:16" s="127" customFormat="1">
      <c r="A149" s="166" t="s">
        <v>163</v>
      </c>
      <c r="B149" s="173" t="s">
        <v>170</v>
      </c>
      <c r="C149" s="149"/>
      <c r="D149" s="149"/>
      <c r="E149" s="149"/>
      <c r="F149" s="149"/>
      <c r="G149" s="152">
        <f t="shared" si="7"/>
        <v>0</v>
      </c>
      <c r="H149" s="153"/>
      <c r="I149" s="128">
        <f>'3 кв'!F149</f>
        <v>0</v>
      </c>
      <c r="K149" s="128"/>
      <c r="L149" s="128"/>
      <c r="M149" s="128"/>
      <c r="N149" s="128"/>
      <c r="O149" s="128"/>
      <c r="P149" s="128"/>
    </row>
    <row r="150" spans="1:16" s="127" customFormat="1">
      <c r="A150" s="166" t="s">
        <v>165</v>
      </c>
      <c r="B150" s="173" t="s">
        <v>171</v>
      </c>
      <c r="C150" s="149"/>
      <c r="D150" s="149"/>
      <c r="E150" s="149"/>
      <c r="F150" s="149"/>
      <c r="G150" s="152">
        <f t="shared" si="7"/>
        <v>0</v>
      </c>
      <c r="H150" s="153"/>
      <c r="I150" s="128">
        <f>'3 кв'!F150</f>
        <v>0</v>
      </c>
      <c r="K150" s="128"/>
      <c r="L150" s="128"/>
      <c r="M150" s="128"/>
      <c r="N150" s="128"/>
      <c r="O150" s="128"/>
      <c r="P150" s="128"/>
    </row>
    <row r="151" spans="1:16" s="127" customFormat="1">
      <c r="A151" s="418" t="s">
        <v>172</v>
      </c>
      <c r="B151" s="419"/>
      <c r="C151" s="419"/>
      <c r="D151" s="419"/>
      <c r="E151" s="419"/>
      <c r="F151" s="419"/>
      <c r="G151" s="419"/>
      <c r="H151" s="420"/>
      <c r="I151" s="128">
        <f>'3 кв'!F151</f>
        <v>0</v>
      </c>
      <c r="K151" s="128"/>
      <c r="L151" s="128"/>
      <c r="M151" s="128"/>
      <c r="N151" s="128"/>
      <c r="O151" s="128"/>
      <c r="P151" s="128"/>
    </row>
    <row r="152" spans="1:16" s="127" customFormat="1" ht="52.5" customHeight="1">
      <c r="A152" s="167" t="s">
        <v>257</v>
      </c>
      <c r="B152" s="173" t="s">
        <v>174</v>
      </c>
      <c r="C152" s="152">
        <f>C153+C154+C155+C156+C157+C158</f>
        <v>106</v>
      </c>
      <c r="D152" s="152">
        <f>SUM(D153:D158)</f>
        <v>109.375</v>
      </c>
      <c r="E152" s="152">
        <f>E153+E154+E155+E156+E157+E158</f>
        <v>120</v>
      </c>
      <c r="F152" s="152">
        <f>F153+F154+F155+F156+F157+F158</f>
        <v>109</v>
      </c>
      <c r="G152" s="152">
        <f t="shared" ref="G152:G180" si="8">F152-E152</f>
        <v>-11</v>
      </c>
      <c r="H152" s="185">
        <f t="shared" ref="H152:H179" si="9">(F152/E152)*100</f>
        <v>90.833333333333329</v>
      </c>
      <c r="I152" s="128"/>
      <c r="K152" s="128"/>
      <c r="L152" s="128"/>
      <c r="M152" s="128"/>
      <c r="N152" s="128"/>
      <c r="O152" s="128"/>
      <c r="P152" s="128"/>
    </row>
    <row r="153" spans="1:16" s="127" customFormat="1">
      <c r="A153" s="164" t="s">
        <v>175</v>
      </c>
      <c r="B153" s="173" t="s">
        <v>176</v>
      </c>
      <c r="C153" s="196">
        <f>'2023'!F153</f>
        <v>1</v>
      </c>
      <c r="D153" s="276">
        <f>(F153+'3 кв'!D153)/2</f>
        <v>1</v>
      </c>
      <c r="E153" s="188">
        <f>план!J153</f>
        <v>1</v>
      </c>
      <c r="F153" s="196">
        <v>1</v>
      </c>
      <c r="G153" s="190">
        <f t="shared" si="8"/>
        <v>0</v>
      </c>
      <c r="H153" s="317">
        <f t="shared" si="9"/>
        <v>100</v>
      </c>
      <c r="I153" s="128"/>
      <c r="K153" s="128"/>
      <c r="L153" s="128"/>
      <c r="M153" s="128"/>
      <c r="N153" s="128"/>
      <c r="O153" s="128"/>
      <c r="P153" s="128"/>
    </row>
    <row r="154" spans="1:16" s="127" customFormat="1">
      <c r="A154" s="164" t="s">
        <v>177</v>
      </c>
      <c r="B154" s="173" t="s">
        <v>178</v>
      </c>
      <c r="C154" s="196">
        <f>'2023'!F154</f>
        <v>5</v>
      </c>
      <c r="D154" s="276">
        <f>(F154+'3 кв'!D154)/2</f>
        <v>5</v>
      </c>
      <c r="E154" s="188">
        <f>план!J154</f>
        <v>5</v>
      </c>
      <c r="F154" s="196">
        <v>5</v>
      </c>
      <c r="G154" s="190">
        <f t="shared" si="8"/>
        <v>0</v>
      </c>
      <c r="H154" s="317">
        <f t="shared" si="9"/>
        <v>100</v>
      </c>
      <c r="I154" s="128"/>
      <c r="K154" s="128"/>
      <c r="L154" s="128"/>
      <c r="M154" s="128"/>
      <c r="N154" s="128"/>
      <c r="O154" s="128"/>
      <c r="P154" s="128"/>
    </row>
    <row r="155" spans="1:16" s="127" customFormat="1">
      <c r="A155" s="164" t="s">
        <v>179</v>
      </c>
      <c r="B155" s="173" t="s">
        <v>180</v>
      </c>
      <c r="C155" s="196">
        <f>'2023'!F155</f>
        <v>32</v>
      </c>
      <c r="D155" s="276">
        <f>(F155+'3 кв'!D155)/2</f>
        <v>36.75</v>
      </c>
      <c r="E155" s="188">
        <f>план!J155</f>
        <v>36</v>
      </c>
      <c r="F155" s="196">
        <f>35+1</f>
        <v>36</v>
      </c>
      <c r="G155" s="190">
        <f t="shared" si="8"/>
        <v>0</v>
      </c>
      <c r="H155" s="317">
        <f t="shared" si="9"/>
        <v>100</v>
      </c>
      <c r="I155" s="128"/>
      <c r="K155" s="128"/>
      <c r="L155" s="128"/>
      <c r="M155" s="128"/>
      <c r="N155" s="128"/>
      <c r="O155" s="128"/>
      <c r="P155" s="128"/>
    </row>
    <row r="156" spans="1:16" s="127" customFormat="1">
      <c r="A156" s="164" t="s">
        <v>181</v>
      </c>
      <c r="B156" s="173" t="s">
        <v>182</v>
      </c>
      <c r="C156" s="196">
        <f>'2023'!F156</f>
        <v>33</v>
      </c>
      <c r="D156" s="276">
        <f>(F156+'3 кв'!D156)/2</f>
        <v>32.875</v>
      </c>
      <c r="E156" s="188">
        <f>план!J156</f>
        <v>35</v>
      </c>
      <c r="F156" s="196">
        <f>32+1</f>
        <v>33</v>
      </c>
      <c r="G156" s="190">
        <f t="shared" si="8"/>
        <v>-2</v>
      </c>
      <c r="H156" s="317">
        <f t="shared" si="9"/>
        <v>94.285714285714278</v>
      </c>
      <c r="I156" s="128"/>
      <c r="K156" s="128"/>
      <c r="L156" s="128"/>
      <c r="M156" s="128"/>
      <c r="N156" s="128"/>
      <c r="O156" s="128"/>
      <c r="P156" s="128"/>
    </row>
    <row r="157" spans="1:16" s="127" customFormat="1">
      <c r="A157" s="164" t="s">
        <v>183</v>
      </c>
      <c r="B157" s="173" t="s">
        <v>184</v>
      </c>
      <c r="C157" s="196">
        <f>'2023'!F157</f>
        <v>16</v>
      </c>
      <c r="D157" s="276">
        <f>(F157+'3 кв'!D157)/2</f>
        <v>15.75</v>
      </c>
      <c r="E157" s="188">
        <f>план!J157</f>
        <v>22</v>
      </c>
      <c r="F157" s="196">
        <v>16</v>
      </c>
      <c r="G157" s="190">
        <f t="shared" si="8"/>
        <v>-6</v>
      </c>
      <c r="H157" s="317">
        <f t="shared" si="9"/>
        <v>72.727272727272734</v>
      </c>
      <c r="I157" s="128"/>
      <c r="K157" s="128"/>
      <c r="L157" s="128"/>
      <c r="M157" s="128"/>
      <c r="N157" s="128"/>
      <c r="O157" s="128"/>
      <c r="P157" s="128"/>
    </row>
    <row r="158" spans="1:16" s="127" customFormat="1">
      <c r="A158" s="164" t="s">
        <v>185</v>
      </c>
      <c r="B158" s="173" t="s">
        <v>186</v>
      </c>
      <c r="C158" s="196">
        <f>'2023'!F158</f>
        <v>19</v>
      </c>
      <c r="D158" s="276">
        <f>(F158+'3 кв'!D158)/2</f>
        <v>18</v>
      </c>
      <c r="E158" s="188">
        <f>план!J158</f>
        <v>21</v>
      </c>
      <c r="F158" s="196">
        <f>16+2</f>
        <v>18</v>
      </c>
      <c r="G158" s="190">
        <f t="shared" si="8"/>
        <v>-3</v>
      </c>
      <c r="H158" s="317">
        <f t="shared" si="9"/>
        <v>85.714285714285708</v>
      </c>
      <c r="I158" s="128"/>
      <c r="K158" s="128"/>
      <c r="L158" s="128"/>
      <c r="M158" s="128"/>
      <c r="N158" s="128"/>
      <c r="O158" s="128"/>
      <c r="P158" s="128"/>
    </row>
    <row r="159" spans="1:16" s="127" customFormat="1">
      <c r="A159" s="174" t="s">
        <v>187</v>
      </c>
      <c r="B159" s="173" t="s">
        <v>188</v>
      </c>
      <c r="C159" s="195">
        <f>C160+C161+C162+C163+C164+C165</f>
        <v>18677.0305434</v>
      </c>
      <c r="D159" s="195">
        <f>SUM(D160:D165)</f>
        <v>19019.093710000001</v>
      </c>
      <c r="E159" s="195">
        <f>E160+E161+E162+E163+E164+E165</f>
        <v>6244.8932999999988</v>
      </c>
      <c r="F159" s="195">
        <f>F160+F161+F162+F163+F164+F165</f>
        <v>4832.7420000000011</v>
      </c>
      <c r="G159" s="195">
        <f t="shared" si="8"/>
        <v>-1412.1512999999977</v>
      </c>
      <c r="H159" s="318">
        <f t="shared" si="9"/>
        <v>77.387102834887543</v>
      </c>
      <c r="I159" s="128"/>
      <c r="J159" s="128"/>
      <c r="K159" s="128"/>
      <c r="L159" s="128"/>
      <c r="M159" s="128"/>
      <c r="N159" s="128"/>
      <c r="O159" s="128"/>
      <c r="P159" s="128"/>
    </row>
    <row r="160" spans="1:16" s="127" customFormat="1">
      <c r="A160" s="164" t="s">
        <v>175</v>
      </c>
      <c r="B160" s="173" t="s">
        <v>189</v>
      </c>
      <c r="C160" s="196">
        <f>'2023'!F160</f>
        <v>739.11168499999985</v>
      </c>
      <c r="D160" s="276">
        <f>(F160+'3 кв'!D160)</f>
        <v>741.68679999999995</v>
      </c>
      <c r="E160" s="188">
        <f>план!J160</f>
        <v>186.82469999999998</v>
      </c>
      <c r="F160" s="191">
        <f>F167*1.22</f>
        <v>184.46399999999997</v>
      </c>
      <c r="G160" s="190">
        <f t="shared" si="8"/>
        <v>-2.3607000000000085</v>
      </c>
      <c r="H160" s="317">
        <f t="shared" si="9"/>
        <v>98.736409050837494</v>
      </c>
      <c r="I160" s="128"/>
      <c r="K160" s="128"/>
      <c r="L160" s="128"/>
      <c r="M160" s="128"/>
      <c r="N160" s="128"/>
      <c r="O160" s="128"/>
      <c r="P160" s="128"/>
    </row>
    <row r="161" spans="1:16" s="127" customFormat="1">
      <c r="A161" s="164" t="s">
        <v>177</v>
      </c>
      <c r="B161" s="173" t="s">
        <v>190</v>
      </c>
      <c r="C161" s="196">
        <f>'2023'!F161</f>
        <v>1210.921797</v>
      </c>
      <c r="D161" s="276">
        <f>(F161+'3 кв'!D161)</f>
        <v>1342.5367999999999</v>
      </c>
      <c r="E161" s="188">
        <f>план!J161</f>
        <v>325.19100000000003</v>
      </c>
      <c r="F161" s="191">
        <f>F168*1.22</f>
        <v>323.90999999999997</v>
      </c>
      <c r="G161" s="190">
        <f t="shared" si="8"/>
        <v>-1.2810000000000628</v>
      </c>
      <c r="H161" s="317">
        <f t="shared" si="9"/>
        <v>99.606077658975778</v>
      </c>
      <c r="I161" s="128"/>
      <c r="J161" s="128"/>
      <c r="K161" s="128"/>
      <c r="L161" s="128"/>
      <c r="M161" s="128"/>
      <c r="N161" s="128"/>
      <c r="O161" s="128"/>
      <c r="P161" s="128"/>
    </row>
    <row r="162" spans="1:16" s="127" customFormat="1">
      <c r="A162" s="164" t="s">
        <v>179</v>
      </c>
      <c r="B162" s="173" t="s">
        <v>191</v>
      </c>
      <c r="C162" s="196">
        <f>'2023'!F162</f>
        <v>7789.398556000001</v>
      </c>
      <c r="D162" s="276">
        <f>(F162+'3 кв'!D162)</f>
        <v>7844.5057099999995</v>
      </c>
      <c r="E162" s="188">
        <f>план!J162</f>
        <v>2635.2</v>
      </c>
      <c r="F162" s="191">
        <f>F169*1.22+7.2+4.4</f>
        <v>2018.1340000000002</v>
      </c>
      <c r="G162" s="195">
        <f t="shared" si="8"/>
        <v>-617.06599999999958</v>
      </c>
      <c r="H162" s="317">
        <f t="shared" si="9"/>
        <v>76.58371281117185</v>
      </c>
      <c r="I162" s="128"/>
      <c r="J162" s="128"/>
      <c r="K162" s="128"/>
      <c r="L162" s="128"/>
      <c r="M162" s="128"/>
      <c r="N162" s="128"/>
      <c r="O162" s="128"/>
      <c r="P162" s="128"/>
    </row>
    <row r="163" spans="1:16" s="127" customFormat="1">
      <c r="A163" s="164" t="s">
        <v>181</v>
      </c>
      <c r="B163" s="173" t="s">
        <v>192</v>
      </c>
      <c r="C163" s="196">
        <f>'2023'!F163</f>
        <v>5207.3819174</v>
      </c>
      <c r="D163" s="276">
        <f>(F163+'3 кв'!D163)</f>
        <v>5071.1588000000002</v>
      </c>
      <c r="E163" s="188">
        <f>план!J163</f>
        <v>1729.35</v>
      </c>
      <c r="F163" s="191">
        <f>F170*1.22+2.2+5</f>
        <v>1267.826</v>
      </c>
      <c r="G163" s="195">
        <f t="shared" si="8"/>
        <v>-461.52399999999989</v>
      </c>
      <c r="H163" s="317">
        <f t="shared" si="9"/>
        <v>73.312284962558195</v>
      </c>
      <c r="I163" s="128"/>
      <c r="J163" s="128"/>
      <c r="K163" s="128"/>
      <c r="L163" s="128"/>
      <c r="M163" s="128"/>
      <c r="N163" s="128"/>
      <c r="O163" s="128"/>
      <c r="P163" s="128"/>
    </row>
    <row r="164" spans="1:16" s="127" customFormat="1">
      <c r="A164" s="164" t="s">
        <v>183</v>
      </c>
      <c r="B164" s="173" t="s">
        <v>193</v>
      </c>
      <c r="C164" s="196">
        <f>'2023'!F164</f>
        <v>1554.9462473999997</v>
      </c>
      <c r="D164" s="276">
        <f>(F164+'3 кв'!D164)</f>
        <v>1850.3465999999999</v>
      </c>
      <c r="E164" s="188">
        <f>план!J164</f>
        <v>647.38080000000002</v>
      </c>
      <c r="F164" s="191">
        <f>F171*1.22+1.7</f>
        <v>478.23200000000003</v>
      </c>
      <c r="G164" s="195">
        <f t="shared" si="8"/>
        <v>-169.14879999999999</v>
      </c>
      <c r="H164" s="317">
        <f t="shared" si="9"/>
        <v>73.871823198958026</v>
      </c>
      <c r="I164" s="128"/>
      <c r="K164" s="128"/>
      <c r="L164" s="128"/>
      <c r="M164" s="128"/>
      <c r="N164" s="128"/>
      <c r="O164" s="128"/>
      <c r="P164" s="128"/>
    </row>
    <row r="165" spans="1:16" s="127" customFormat="1">
      <c r="A165" s="164" t="s">
        <v>185</v>
      </c>
      <c r="B165" s="173" t="s">
        <v>194</v>
      </c>
      <c r="C165" s="196">
        <f>'2023'!F165</f>
        <v>2175.2703406000001</v>
      </c>
      <c r="D165" s="276">
        <f>(F165+'3 кв'!D165)</f>
        <v>2168.8589999999999</v>
      </c>
      <c r="E165" s="188">
        <f>план!J165</f>
        <v>720.94680000000005</v>
      </c>
      <c r="F165" s="191">
        <f>F172*1.22+5.2+5</f>
        <v>560.17600000000004</v>
      </c>
      <c r="G165" s="195">
        <f t="shared" si="8"/>
        <v>-160.77080000000001</v>
      </c>
      <c r="H165" s="317">
        <f t="shared" si="9"/>
        <v>77.700046660863194</v>
      </c>
      <c r="I165" s="128"/>
      <c r="K165" s="128"/>
      <c r="L165" s="128"/>
      <c r="M165" s="128"/>
      <c r="N165" s="128"/>
      <c r="O165" s="128"/>
      <c r="P165" s="128"/>
    </row>
    <row r="166" spans="1:16" s="127" customFormat="1">
      <c r="A166" s="167" t="s">
        <v>195</v>
      </c>
      <c r="B166" s="173" t="s">
        <v>196</v>
      </c>
      <c r="C166" s="190">
        <f>C167+C168+C169+C170+C171+C172</f>
        <v>15185.588969999999</v>
      </c>
      <c r="D166" s="195">
        <f>SUM(D167:D172)</f>
        <v>15511.18</v>
      </c>
      <c r="E166" s="195">
        <f>E167+E168+E169+E170+E171+E172</f>
        <v>5118.7649999999994</v>
      </c>
      <c r="F166" s="195">
        <f>F167+F168+F169+F170+F171+F172</f>
        <v>3936.1</v>
      </c>
      <c r="G166" s="195">
        <f t="shared" si="8"/>
        <v>-1182.6649999999995</v>
      </c>
      <c r="H166" s="318">
        <f t="shared" si="9"/>
        <v>76.895501160924567</v>
      </c>
      <c r="I166" s="128"/>
      <c r="J166" s="132"/>
      <c r="K166" s="128"/>
      <c r="L166" s="128"/>
      <c r="M166" s="128"/>
      <c r="N166" s="128"/>
      <c r="O166" s="128"/>
      <c r="P166" s="128"/>
    </row>
    <row r="167" spans="1:16" s="127" customFormat="1">
      <c r="A167" s="164" t="s">
        <v>175</v>
      </c>
      <c r="B167" s="173" t="s">
        <v>197</v>
      </c>
      <c r="C167" s="196">
        <f>'2023'!F167</f>
        <v>605.82925</v>
      </c>
      <c r="D167" s="276">
        <f>(F167+'3 кв'!D167)</f>
        <v>607.94000000000005</v>
      </c>
      <c r="E167" s="188">
        <f>план!J167</f>
        <v>153.13499999999999</v>
      </c>
      <c r="F167" s="191">
        <v>151.19999999999999</v>
      </c>
      <c r="G167" s="195">
        <f t="shared" si="8"/>
        <v>-1.9350000000000023</v>
      </c>
      <c r="H167" s="317">
        <f t="shared" si="9"/>
        <v>98.736409050837494</v>
      </c>
      <c r="I167" s="128"/>
      <c r="J167" s="128"/>
      <c r="K167" s="128"/>
      <c r="L167" s="128"/>
      <c r="M167" s="128"/>
      <c r="N167" s="128"/>
      <c r="O167" s="128"/>
      <c r="P167" s="128"/>
    </row>
    <row r="168" spans="1:16" s="127" customFormat="1">
      <c r="A168" s="164" t="s">
        <v>177</v>
      </c>
      <c r="B168" s="173" t="s">
        <v>198</v>
      </c>
      <c r="C168" s="196">
        <f>'2023'!F168</f>
        <v>992.55885000000001</v>
      </c>
      <c r="D168" s="276">
        <f>(F168+'3 кв'!D168)</f>
        <v>1100.44</v>
      </c>
      <c r="E168" s="188">
        <f>план!J168</f>
        <v>266.55</v>
      </c>
      <c r="F168" s="191">
        <f>298.5-33</f>
        <v>265.5</v>
      </c>
      <c r="G168" s="195">
        <f t="shared" si="8"/>
        <v>-1.0500000000000114</v>
      </c>
      <c r="H168" s="317">
        <f t="shared" si="9"/>
        <v>99.606077658975806</v>
      </c>
      <c r="I168" s="128"/>
      <c r="J168" s="128"/>
      <c r="K168" s="128"/>
      <c r="L168" s="128"/>
      <c r="M168" s="128"/>
      <c r="N168" s="128"/>
      <c r="O168" s="128"/>
      <c r="P168" s="128"/>
    </row>
    <row r="169" spans="1:16" s="127" customFormat="1">
      <c r="A169" s="164" t="s">
        <v>179</v>
      </c>
      <c r="B169" s="173" t="s">
        <v>199</v>
      </c>
      <c r="C169" s="196">
        <f>'2023'!F169</f>
        <v>6349.139799999999</v>
      </c>
      <c r="D169" s="276">
        <f>(F169+'3 кв'!D169)</f>
        <v>6395.78</v>
      </c>
      <c r="E169" s="188">
        <f>план!J169</f>
        <v>2160</v>
      </c>
      <c r="F169" s="191">
        <f>1611.7+33</f>
        <v>1644.7</v>
      </c>
      <c r="G169" s="195">
        <f t="shared" si="8"/>
        <v>-515.29999999999995</v>
      </c>
      <c r="H169" s="317">
        <f t="shared" si="9"/>
        <v>76.143518518518519</v>
      </c>
      <c r="I169" s="128"/>
      <c r="J169" s="128"/>
      <c r="K169" s="128"/>
      <c r="L169" s="128"/>
      <c r="M169" s="128"/>
      <c r="N169" s="128"/>
      <c r="O169" s="128"/>
      <c r="P169" s="128"/>
    </row>
    <row r="170" spans="1:16" s="127" customFormat="1">
      <c r="A170" s="164" t="s">
        <v>181</v>
      </c>
      <c r="B170" s="173" t="s">
        <v>200</v>
      </c>
      <c r="C170" s="196">
        <f>'2023'!F170</f>
        <v>4250.5556699999997</v>
      </c>
      <c r="D170" s="276">
        <f>(F170+'3 кв'!D170)</f>
        <v>4144.54</v>
      </c>
      <c r="E170" s="188">
        <f>план!J170</f>
        <v>1417.5</v>
      </c>
      <c r="F170" s="191">
        <v>1033.3</v>
      </c>
      <c r="G170" s="195">
        <f t="shared" si="8"/>
        <v>-384.20000000000005</v>
      </c>
      <c r="H170" s="317">
        <f t="shared" si="9"/>
        <v>72.895943562610228</v>
      </c>
      <c r="I170" s="128"/>
      <c r="J170" s="128"/>
      <c r="K170" s="128"/>
      <c r="L170" s="128"/>
      <c r="M170" s="128"/>
      <c r="N170" s="128"/>
      <c r="O170" s="128"/>
      <c r="P170" s="128"/>
    </row>
    <row r="171" spans="1:16" s="127" customFormat="1">
      <c r="A171" s="164" t="s">
        <v>183</v>
      </c>
      <c r="B171" s="173" t="s">
        <v>201</v>
      </c>
      <c r="C171" s="196">
        <f>'2023'!F171</f>
        <v>1237.8821699999999</v>
      </c>
      <c r="D171" s="276">
        <f>(F171+'3 кв'!D171)</f>
        <v>1506.0299999999997</v>
      </c>
      <c r="E171" s="188">
        <f>план!J171</f>
        <v>530.64</v>
      </c>
      <c r="F171" s="191">
        <v>390.6</v>
      </c>
      <c r="G171" s="195">
        <f t="shared" si="8"/>
        <v>-140.03999999999996</v>
      </c>
      <c r="H171" s="317">
        <f t="shared" si="9"/>
        <v>73.609226594301219</v>
      </c>
      <c r="I171" s="128"/>
      <c r="K171" s="128"/>
      <c r="L171" s="128"/>
      <c r="M171" s="128"/>
      <c r="N171" s="128"/>
      <c r="O171" s="128"/>
      <c r="P171" s="128"/>
    </row>
    <row r="172" spans="1:16" s="127" customFormat="1">
      <c r="A172" s="164" t="s">
        <v>185</v>
      </c>
      <c r="B172" s="173" t="s">
        <v>202</v>
      </c>
      <c r="C172" s="196">
        <f>'2023'!F172</f>
        <v>1749.6232299999999</v>
      </c>
      <c r="D172" s="276">
        <f>(F172+'3 кв'!D172)</f>
        <v>1756.4499999999998</v>
      </c>
      <c r="E172" s="188">
        <f>план!J172</f>
        <v>590.94000000000005</v>
      </c>
      <c r="F172" s="191">
        <v>450.8</v>
      </c>
      <c r="G172" s="195">
        <f t="shared" si="8"/>
        <v>-140.14000000000004</v>
      </c>
      <c r="H172" s="317">
        <f t="shared" si="9"/>
        <v>76.285240464344938</v>
      </c>
      <c r="I172" s="128"/>
      <c r="K172" s="128"/>
      <c r="L172" s="128"/>
      <c r="M172" s="128"/>
      <c r="N172" s="128"/>
      <c r="O172" s="128"/>
      <c r="P172" s="128"/>
    </row>
    <row r="173" spans="1:16" s="127" customFormat="1" ht="31.5">
      <c r="A173" s="167" t="s">
        <v>203</v>
      </c>
      <c r="B173" s="173" t="s">
        <v>204</v>
      </c>
      <c r="C173" s="278">
        <f t="shared" ref="C173:C179" si="10">C166/C152/12*1000</f>
        <v>11938.356108490565</v>
      </c>
      <c r="D173" s="206">
        <f>D166/D152/12*1000+0.2</f>
        <v>11818.241904761906</v>
      </c>
      <c r="E173" s="206">
        <f>E166/E152/3*1000</f>
        <v>14218.791666666666</v>
      </c>
      <c r="F173" s="195">
        <f>F166/F152/3*1000</f>
        <v>12037.003058103975</v>
      </c>
      <c r="G173" s="195">
        <f t="shared" si="8"/>
        <v>-2181.7886085626906</v>
      </c>
      <c r="H173" s="318">
        <f t="shared" si="9"/>
        <v>84.655597608357311</v>
      </c>
      <c r="I173" s="128"/>
      <c r="K173" s="128"/>
      <c r="L173" s="128"/>
      <c r="M173" s="128"/>
      <c r="N173" s="128"/>
      <c r="O173" s="128"/>
      <c r="P173" s="128"/>
    </row>
    <row r="174" spans="1:16" s="127" customFormat="1">
      <c r="A174" s="164" t="s">
        <v>175</v>
      </c>
      <c r="B174" s="173" t="s">
        <v>205</v>
      </c>
      <c r="C174" s="298">
        <f t="shared" si="10"/>
        <v>50485.770833333336</v>
      </c>
      <c r="D174" s="191">
        <f t="shared" ref="D174:D179" si="11">D167/D153/12*1000</f>
        <v>50661.666666666672</v>
      </c>
      <c r="E174" s="191">
        <f t="shared" ref="E174:F179" si="12">E167/E153/3*1000</f>
        <v>51044.999999999993</v>
      </c>
      <c r="F174" s="191">
        <f t="shared" si="12"/>
        <v>50400</v>
      </c>
      <c r="G174" s="191">
        <f t="shared" si="8"/>
        <v>-644.99999999999272</v>
      </c>
      <c r="H174" s="317">
        <f t="shared" si="9"/>
        <v>98.736409050837509</v>
      </c>
      <c r="I174" s="128"/>
      <c r="K174" s="128"/>
      <c r="L174" s="128"/>
      <c r="M174" s="128"/>
      <c r="N174" s="128"/>
      <c r="O174" s="128"/>
      <c r="P174" s="128"/>
    </row>
    <row r="175" spans="1:16" s="127" customFormat="1">
      <c r="A175" s="164" t="s">
        <v>177</v>
      </c>
      <c r="B175" s="173" t="s">
        <v>206</v>
      </c>
      <c r="C175" s="298">
        <f t="shared" si="10"/>
        <v>16542.647500000003</v>
      </c>
      <c r="D175" s="191">
        <f t="shared" si="11"/>
        <v>18340.666666666668</v>
      </c>
      <c r="E175" s="191">
        <f t="shared" si="12"/>
        <v>17770</v>
      </c>
      <c r="F175" s="191">
        <f t="shared" si="12"/>
        <v>17700</v>
      </c>
      <c r="G175" s="191">
        <f t="shared" si="8"/>
        <v>-70</v>
      </c>
      <c r="H175" s="317">
        <f t="shared" si="9"/>
        <v>99.606077658975806</v>
      </c>
      <c r="I175" s="128"/>
      <c r="K175" s="128"/>
      <c r="L175" s="128"/>
      <c r="M175" s="128"/>
      <c r="N175" s="128"/>
      <c r="O175" s="128"/>
      <c r="P175" s="128"/>
    </row>
    <row r="176" spans="1:16" s="127" customFormat="1">
      <c r="A176" s="164" t="s">
        <v>179</v>
      </c>
      <c r="B176" s="173" t="s">
        <v>207</v>
      </c>
      <c r="C176" s="298">
        <f t="shared" si="10"/>
        <v>16534.218229166665</v>
      </c>
      <c r="D176" s="191">
        <f t="shared" si="11"/>
        <v>14502.902494331065</v>
      </c>
      <c r="E176" s="191">
        <f t="shared" si="12"/>
        <v>20000</v>
      </c>
      <c r="F176" s="191">
        <f t="shared" si="12"/>
        <v>15228.703703703703</v>
      </c>
      <c r="G176" s="191">
        <f t="shared" si="8"/>
        <v>-4771.2962962962974</v>
      </c>
      <c r="H176" s="317">
        <f t="shared" si="9"/>
        <v>76.143518518518519</v>
      </c>
      <c r="I176" s="128"/>
      <c r="K176" s="128"/>
      <c r="L176" s="128"/>
      <c r="M176" s="128"/>
      <c r="N176" s="128"/>
      <c r="O176" s="128"/>
      <c r="P176" s="128"/>
    </row>
    <row r="177" spans="1:16" s="127" customFormat="1">
      <c r="A177" s="164" t="s">
        <v>181</v>
      </c>
      <c r="B177" s="173" t="s">
        <v>208</v>
      </c>
      <c r="C177" s="298">
        <f t="shared" si="10"/>
        <v>10733.726439393939</v>
      </c>
      <c r="D177" s="191">
        <f t="shared" si="11"/>
        <v>10505.804816223068</v>
      </c>
      <c r="E177" s="191">
        <f t="shared" si="12"/>
        <v>13500</v>
      </c>
      <c r="F177" s="191">
        <f t="shared" si="12"/>
        <v>10437.373737373739</v>
      </c>
      <c r="G177" s="191">
        <f t="shared" si="8"/>
        <v>-3062.6262626262615</v>
      </c>
      <c r="H177" s="317">
        <f t="shared" si="9"/>
        <v>77.313879536101766</v>
      </c>
      <c r="I177" s="128"/>
      <c r="K177" s="128"/>
      <c r="L177" s="128"/>
      <c r="M177" s="128"/>
      <c r="N177" s="128"/>
      <c r="O177" s="128"/>
      <c r="P177" s="128"/>
    </row>
    <row r="178" spans="1:16" s="127" customFormat="1">
      <c r="A178" s="164" t="s">
        <v>183</v>
      </c>
      <c r="B178" s="173" t="s">
        <v>209</v>
      </c>
      <c r="C178" s="298">
        <f t="shared" si="10"/>
        <v>6447.3029687499993</v>
      </c>
      <c r="D178" s="191">
        <f t="shared" si="11"/>
        <v>7968.412698412696</v>
      </c>
      <c r="E178" s="191">
        <f t="shared" si="12"/>
        <v>8040.0000000000009</v>
      </c>
      <c r="F178" s="191">
        <f t="shared" si="12"/>
        <v>8137.5000000000009</v>
      </c>
      <c r="G178" s="191">
        <f t="shared" si="8"/>
        <v>97.5</v>
      </c>
      <c r="H178" s="317">
        <f t="shared" si="9"/>
        <v>101.21268656716418</v>
      </c>
      <c r="I178" s="128"/>
      <c r="K178" s="128"/>
      <c r="L178" s="128"/>
      <c r="M178" s="128"/>
      <c r="N178" s="128"/>
      <c r="O178" s="128"/>
      <c r="P178" s="128"/>
    </row>
    <row r="179" spans="1:16" s="127" customFormat="1">
      <c r="A179" s="164" t="s">
        <v>185</v>
      </c>
      <c r="B179" s="173" t="s">
        <v>210</v>
      </c>
      <c r="C179" s="298">
        <f t="shared" si="10"/>
        <v>7673.786096491227</v>
      </c>
      <c r="D179" s="191">
        <f t="shared" si="11"/>
        <v>8131.7129629629626</v>
      </c>
      <c r="E179" s="191">
        <f t="shared" si="12"/>
        <v>9380</v>
      </c>
      <c r="F179" s="191">
        <f t="shared" si="12"/>
        <v>8348.1481481481478</v>
      </c>
      <c r="G179" s="191">
        <f t="shared" si="8"/>
        <v>-1031.8518518518522</v>
      </c>
      <c r="H179" s="317">
        <f t="shared" si="9"/>
        <v>88.99944720840243</v>
      </c>
      <c r="I179" s="128"/>
      <c r="K179" s="128"/>
      <c r="L179" s="128"/>
      <c r="M179" s="128"/>
      <c r="N179" s="128"/>
      <c r="O179" s="128"/>
      <c r="P179" s="128"/>
    </row>
    <row r="180" spans="1:16" s="127" customFormat="1" ht="31.5">
      <c r="A180" s="164" t="s">
        <v>211</v>
      </c>
      <c r="B180" s="173" t="s">
        <v>212</v>
      </c>
      <c r="C180" s="198"/>
      <c r="D180" s="198"/>
      <c r="E180" s="193"/>
      <c r="F180" s="205"/>
      <c r="G180" s="203">
        <f t="shared" si="8"/>
        <v>0</v>
      </c>
      <c r="H180" s="314"/>
      <c r="K180" s="128"/>
      <c r="L180" s="128"/>
      <c r="M180" s="128"/>
      <c r="N180" s="128"/>
      <c r="O180" s="128"/>
      <c r="P180" s="128"/>
    </row>
    <row r="181" spans="1:16" s="127" customFormat="1" ht="20.100000000000001" customHeight="1">
      <c r="A181" s="133"/>
      <c r="B181" s="134"/>
      <c r="C181" s="135"/>
      <c r="D181" s="135"/>
      <c r="E181" s="136"/>
      <c r="F181" s="136"/>
      <c r="G181" s="136"/>
      <c r="H181" s="137"/>
    </row>
    <row r="182" spans="1:16" s="127" customFormat="1" ht="42.6" customHeight="1">
      <c r="A182" s="138" t="s">
        <v>252</v>
      </c>
      <c r="B182" s="407" t="s">
        <v>249</v>
      </c>
      <c r="C182" s="407"/>
      <c r="D182" s="407"/>
      <c r="E182" s="407"/>
      <c r="F182" s="407"/>
      <c r="G182" s="407"/>
      <c r="H182" s="407"/>
    </row>
    <row r="183" spans="1:16" ht="18.75" customHeight="1">
      <c r="A183" s="138"/>
      <c r="C183" s="427"/>
      <c r="D183" s="427"/>
      <c r="E183" s="427"/>
      <c r="F183" s="427"/>
      <c r="G183" s="408"/>
      <c r="H183" s="408"/>
    </row>
    <row r="184" spans="1:16" s="139" customFormat="1" ht="20.100000000000001" customHeight="1">
      <c r="A184" s="110"/>
      <c r="B184" s="104"/>
      <c r="C184" s="408"/>
      <c r="D184" s="408"/>
      <c r="E184" s="408"/>
      <c r="F184" s="408"/>
      <c r="G184" s="408"/>
      <c r="H184" s="408"/>
      <c r="I184" s="111"/>
    </row>
    <row r="185" spans="1:16">
      <c r="A185" s="140"/>
    </row>
    <row r="186" spans="1:16">
      <c r="A186" s="140"/>
    </row>
    <row r="187" spans="1:16">
      <c r="A187" s="140"/>
    </row>
    <row r="188" spans="1:16">
      <c r="A188" s="140"/>
    </row>
    <row r="189" spans="1:16">
      <c r="A189" s="140"/>
    </row>
    <row r="190" spans="1:16">
      <c r="A190" s="140"/>
    </row>
    <row r="191" spans="1:16">
      <c r="A191" s="140"/>
    </row>
    <row r="192" spans="1:16">
      <c r="A192" s="140"/>
    </row>
    <row r="193" spans="1:1">
      <c r="A193" s="140"/>
    </row>
    <row r="194" spans="1:1">
      <c r="A194" s="140"/>
    </row>
    <row r="195" spans="1:1">
      <c r="A195" s="140"/>
    </row>
    <row r="196" spans="1:1">
      <c r="A196" s="140"/>
    </row>
    <row r="197" spans="1:1">
      <c r="A197" s="140"/>
    </row>
    <row r="198" spans="1:1">
      <c r="A198" s="140"/>
    </row>
    <row r="199" spans="1:1">
      <c r="A199" s="140"/>
    </row>
    <row r="200" spans="1:1">
      <c r="A200" s="140"/>
    </row>
    <row r="201" spans="1:1">
      <c r="A201" s="140"/>
    </row>
    <row r="202" spans="1:1">
      <c r="A202" s="140"/>
    </row>
    <row r="203" spans="1:1">
      <c r="A203" s="140"/>
    </row>
    <row r="204" spans="1:1">
      <c r="A204" s="140"/>
    </row>
    <row r="205" spans="1:1">
      <c r="A205" s="140"/>
    </row>
    <row r="206" spans="1:1">
      <c r="A206" s="140"/>
    </row>
    <row r="207" spans="1:1">
      <c r="A207" s="140"/>
    </row>
    <row r="208" spans="1:1">
      <c r="A208" s="140"/>
    </row>
    <row r="209" spans="1:1">
      <c r="A209" s="140"/>
    </row>
    <row r="210" spans="1:1">
      <c r="A210" s="140"/>
    </row>
    <row r="211" spans="1:1">
      <c r="A211" s="140"/>
    </row>
    <row r="212" spans="1:1">
      <c r="A212" s="140"/>
    </row>
    <row r="213" spans="1:1">
      <c r="A213" s="140"/>
    </row>
    <row r="214" spans="1:1">
      <c r="A214" s="140"/>
    </row>
    <row r="215" spans="1:1">
      <c r="A215" s="140"/>
    </row>
    <row r="216" spans="1:1">
      <c r="A216" s="140"/>
    </row>
    <row r="217" spans="1:1">
      <c r="A217" s="140"/>
    </row>
    <row r="218" spans="1:1">
      <c r="A218" s="140"/>
    </row>
    <row r="219" spans="1:1">
      <c r="A219" s="140"/>
    </row>
    <row r="220" spans="1:1">
      <c r="A220" s="140"/>
    </row>
    <row r="221" spans="1:1">
      <c r="A221" s="140"/>
    </row>
    <row r="222" spans="1:1">
      <c r="A222" s="140"/>
    </row>
    <row r="223" spans="1:1">
      <c r="A223" s="140"/>
    </row>
    <row r="224" spans="1:1">
      <c r="A224" s="140"/>
    </row>
    <row r="225" spans="1:1">
      <c r="A225" s="140"/>
    </row>
    <row r="226" spans="1:1">
      <c r="A226" s="140"/>
    </row>
    <row r="227" spans="1:1">
      <c r="A227" s="140"/>
    </row>
    <row r="228" spans="1:1">
      <c r="A228" s="140"/>
    </row>
    <row r="229" spans="1:1">
      <c r="A229" s="140"/>
    </row>
    <row r="230" spans="1:1">
      <c r="A230" s="140"/>
    </row>
    <row r="231" spans="1:1">
      <c r="A231" s="140"/>
    </row>
    <row r="232" spans="1:1">
      <c r="A232" s="140"/>
    </row>
    <row r="233" spans="1:1">
      <c r="A233" s="140"/>
    </row>
    <row r="234" spans="1:1">
      <c r="A234" s="140"/>
    </row>
    <row r="235" spans="1:1">
      <c r="A235" s="140"/>
    </row>
    <row r="236" spans="1:1">
      <c r="A236" s="140"/>
    </row>
    <row r="237" spans="1:1">
      <c r="A237" s="140"/>
    </row>
    <row r="238" spans="1:1">
      <c r="A238" s="140"/>
    </row>
    <row r="239" spans="1:1">
      <c r="A239" s="140"/>
    </row>
    <row r="240" spans="1:1">
      <c r="A240" s="140"/>
    </row>
    <row r="241" spans="1:1">
      <c r="A241" s="140"/>
    </row>
    <row r="242" spans="1:1">
      <c r="A242" s="140"/>
    </row>
    <row r="243" spans="1:1">
      <c r="A243" s="140"/>
    </row>
    <row r="244" spans="1:1">
      <c r="A244" s="140"/>
    </row>
    <row r="245" spans="1:1">
      <c r="A245" s="140"/>
    </row>
    <row r="246" spans="1:1">
      <c r="A246" s="140"/>
    </row>
    <row r="247" spans="1:1">
      <c r="A247" s="140"/>
    </row>
    <row r="248" spans="1:1">
      <c r="A248" s="140"/>
    </row>
    <row r="249" spans="1:1">
      <c r="A249" s="140"/>
    </row>
    <row r="250" spans="1:1">
      <c r="A250" s="140"/>
    </row>
    <row r="251" spans="1:1">
      <c r="A251" s="140"/>
    </row>
    <row r="252" spans="1:1">
      <c r="A252" s="140"/>
    </row>
    <row r="253" spans="1:1">
      <c r="A253" s="140"/>
    </row>
    <row r="254" spans="1:1">
      <c r="A254" s="140"/>
    </row>
    <row r="255" spans="1:1">
      <c r="A255" s="140"/>
    </row>
    <row r="256" spans="1:1">
      <c r="A256" s="140"/>
    </row>
    <row r="257" spans="1:1">
      <c r="A257" s="140"/>
    </row>
    <row r="258" spans="1:1">
      <c r="A258" s="140"/>
    </row>
    <row r="259" spans="1:1">
      <c r="A259" s="140"/>
    </row>
    <row r="260" spans="1:1">
      <c r="A260" s="140"/>
    </row>
    <row r="261" spans="1:1">
      <c r="A261" s="140"/>
    </row>
    <row r="262" spans="1:1">
      <c r="A262" s="140"/>
    </row>
    <row r="263" spans="1:1">
      <c r="A263" s="140"/>
    </row>
    <row r="264" spans="1:1">
      <c r="A264" s="140"/>
    </row>
    <row r="265" spans="1:1">
      <c r="A265" s="140"/>
    </row>
    <row r="266" spans="1:1">
      <c r="A266" s="140"/>
    </row>
    <row r="267" spans="1:1">
      <c r="A267" s="140"/>
    </row>
    <row r="268" spans="1:1">
      <c r="A268" s="140"/>
    </row>
    <row r="269" spans="1:1">
      <c r="A269" s="140"/>
    </row>
    <row r="270" spans="1:1">
      <c r="A270" s="140"/>
    </row>
    <row r="271" spans="1:1">
      <c r="A271" s="140"/>
    </row>
    <row r="272" spans="1:1">
      <c r="A272" s="140"/>
    </row>
    <row r="273" spans="1:1">
      <c r="A273" s="140"/>
    </row>
    <row r="274" spans="1:1">
      <c r="A274" s="140"/>
    </row>
    <row r="275" spans="1:1">
      <c r="A275" s="140"/>
    </row>
    <row r="276" spans="1:1">
      <c r="A276" s="140"/>
    </row>
    <row r="277" spans="1:1">
      <c r="A277" s="140"/>
    </row>
    <row r="278" spans="1:1">
      <c r="A278" s="140"/>
    </row>
    <row r="279" spans="1:1">
      <c r="A279" s="140"/>
    </row>
    <row r="280" spans="1:1">
      <c r="A280" s="140"/>
    </row>
    <row r="281" spans="1:1">
      <c r="A281" s="140"/>
    </row>
    <row r="282" spans="1:1">
      <c r="A282" s="140"/>
    </row>
    <row r="283" spans="1:1">
      <c r="A283" s="140"/>
    </row>
    <row r="284" spans="1:1">
      <c r="A284" s="140"/>
    </row>
    <row r="285" spans="1:1">
      <c r="A285" s="140"/>
    </row>
    <row r="286" spans="1:1">
      <c r="A286" s="140"/>
    </row>
    <row r="287" spans="1:1">
      <c r="A287" s="140"/>
    </row>
    <row r="288" spans="1:1">
      <c r="A288" s="140"/>
    </row>
    <row r="289" spans="1:1">
      <c r="A289" s="140"/>
    </row>
    <row r="290" spans="1:1">
      <c r="A290" s="140"/>
    </row>
    <row r="291" spans="1:1">
      <c r="A291" s="140"/>
    </row>
    <row r="292" spans="1:1">
      <c r="A292" s="140"/>
    </row>
    <row r="293" spans="1:1">
      <c r="A293" s="140"/>
    </row>
    <row r="294" spans="1:1">
      <c r="A294" s="140"/>
    </row>
    <row r="295" spans="1:1">
      <c r="A295" s="140"/>
    </row>
    <row r="296" spans="1:1">
      <c r="A296" s="140"/>
    </row>
    <row r="297" spans="1:1">
      <c r="A297" s="140"/>
    </row>
    <row r="298" spans="1:1">
      <c r="A298" s="140"/>
    </row>
    <row r="299" spans="1:1">
      <c r="A299" s="140"/>
    </row>
    <row r="300" spans="1:1">
      <c r="A300" s="140"/>
    </row>
    <row r="301" spans="1:1">
      <c r="A301" s="140"/>
    </row>
    <row r="302" spans="1:1">
      <c r="A302" s="140"/>
    </row>
    <row r="303" spans="1:1">
      <c r="A303" s="140"/>
    </row>
    <row r="304" spans="1:1">
      <c r="A304" s="140"/>
    </row>
    <row r="305" spans="1:1">
      <c r="A305" s="140"/>
    </row>
    <row r="306" spans="1:1">
      <c r="A306" s="140"/>
    </row>
    <row r="307" spans="1:1">
      <c r="A307" s="140"/>
    </row>
    <row r="308" spans="1:1">
      <c r="A308" s="140"/>
    </row>
    <row r="309" spans="1:1">
      <c r="A309" s="140"/>
    </row>
    <row r="310" spans="1:1">
      <c r="A310" s="140"/>
    </row>
    <row r="311" spans="1:1">
      <c r="A311" s="140"/>
    </row>
    <row r="312" spans="1:1">
      <c r="A312" s="140"/>
    </row>
    <row r="313" spans="1:1">
      <c r="A313" s="140"/>
    </row>
    <row r="314" spans="1:1">
      <c r="A314" s="140"/>
    </row>
    <row r="315" spans="1:1">
      <c r="A315" s="140"/>
    </row>
    <row r="316" spans="1:1">
      <c r="A316" s="140"/>
    </row>
    <row r="317" spans="1:1">
      <c r="A317" s="140"/>
    </row>
    <row r="318" spans="1:1">
      <c r="A318" s="140"/>
    </row>
    <row r="319" spans="1:1">
      <c r="A319" s="140"/>
    </row>
    <row r="320" spans="1:1">
      <c r="A320" s="140"/>
    </row>
    <row r="321" spans="1:1">
      <c r="A321" s="140"/>
    </row>
    <row r="322" spans="1:1">
      <c r="A322" s="140"/>
    </row>
    <row r="323" spans="1:1">
      <c r="A323" s="140"/>
    </row>
    <row r="324" spans="1:1">
      <c r="A324" s="140"/>
    </row>
    <row r="325" spans="1:1">
      <c r="A325" s="140"/>
    </row>
    <row r="326" spans="1:1">
      <c r="A326" s="140"/>
    </row>
    <row r="327" spans="1:1">
      <c r="A327" s="140"/>
    </row>
    <row r="328" spans="1:1">
      <c r="A328" s="140"/>
    </row>
    <row r="329" spans="1:1">
      <c r="A329" s="140"/>
    </row>
    <row r="330" spans="1:1">
      <c r="A330" s="140"/>
    </row>
    <row r="331" spans="1:1">
      <c r="A331" s="140"/>
    </row>
    <row r="332" spans="1:1">
      <c r="A332" s="140"/>
    </row>
    <row r="333" spans="1:1">
      <c r="A333" s="140"/>
    </row>
    <row r="334" spans="1:1">
      <c r="A334" s="140"/>
    </row>
    <row r="335" spans="1:1">
      <c r="A335" s="140"/>
    </row>
    <row r="336" spans="1:1">
      <c r="A336" s="140"/>
    </row>
    <row r="337" spans="1:1">
      <c r="A337" s="140"/>
    </row>
    <row r="338" spans="1:1">
      <c r="A338" s="140"/>
    </row>
    <row r="339" spans="1:1">
      <c r="A339" s="140"/>
    </row>
    <row r="340" spans="1:1">
      <c r="A340" s="140"/>
    </row>
    <row r="341" spans="1:1">
      <c r="A341" s="140"/>
    </row>
    <row r="342" spans="1:1">
      <c r="A342" s="140"/>
    </row>
    <row r="343" spans="1:1">
      <c r="A343" s="141"/>
    </row>
    <row r="344" spans="1:1">
      <c r="A344" s="141"/>
    </row>
    <row r="345" spans="1:1">
      <c r="A345" s="141"/>
    </row>
    <row r="346" spans="1:1">
      <c r="A346" s="141"/>
    </row>
    <row r="347" spans="1:1">
      <c r="A347" s="141"/>
    </row>
    <row r="348" spans="1:1">
      <c r="A348" s="141"/>
    </row>
    <row r="349" spans="1:1">
      <c r="A349" s="141"/>
    </row>
    <row r="350" spans="1:1">
      <c r="A350" s="141"/>
    </row>
    <row r="351" spans="1:1">
      <c r="A351" s="141"/>
    </row>
    <row r="352" spans="1:1">
      <c r="A352" s="141"/>
    </row>
    <row r="353" spans="1:1">
      <c r="A353" s="141"/>
    </row>
    <row r="354" spans="1:1">
      <c r="A354" s="141"/>
    </row>
    <row r="355" spans="1:1">
      <c r="A355" s="141"/>
    </row>
    <row r="356" spans="1:1">
      <c r="A356" s="141"/>
    </row>
    <row r="357" spans="1:1">
      <c r="A357" s="141"/>
    </row>
    <row r="358" spans="1:1">
      <c r="A358" s="141"/>
    </row>
    <row r="359" spans="1:1">
      <c r="A359" s="141"/>
    </row>
    <row r="360" spans="1:1">
      <c r="A360" s="141"/>
    </row>
    <row r="361" spans="1:1">
      <c r="A361" s="141"/>
    </row>
    <row r="362" spans="1:1">
      <c r="A362" s="141"/>
    </row>
    <row r="363" spans="1:1">
      <c r="A363" s="141"/>
    </row>
    <row r="364" spans="1:1">
      <c r="A364" s="141"/>
    </row>
    <row r="365" spans="1:1">
      <c r="A365" s="141"/>
    </row>
    <row r="366" spans="1:1">
      <c r="A366" s="141"/>
    </row>
    <row r="367" spans="1:1">
      <c r="A367" s="141"/>
    </row>
    <row r="368" spans="1:1">
      <c r="A368" s="141"/>
    </row>
    <row r="369" spans="1:1">
      <c r="A369" s="141"/>
    </row>
    <row r="370" spans="1:1">
      <c r="A370" s="141"/>
    </row>
    <row r="371" spans="1:1">
      <c r="A371" s="141"/>
    </row>
    <row r="372" spans="1:1">
      <c r="A372" s="141"/>
    </row>
    <row r="373" spans="1:1">
      <c r="A373" s="141"/>
    </row>
    <row r="374" spans="1:1">
      <c r="A374" s="141"/>
    </row>
    <row r="375" spans="1:1">
      <c r="A375" s="141"/>
    </row>
    <row r="376" spans="1:1">
      <c r="A376" s="141"/>
    </row>
    <row r="377" spans="1:1">
      <c r="A377" s="141"/>
    </row>
    <row r="378" spans="1:1">
      <c r="A378" s="141"/>
    </row>
    <row r="379" spans="1:1">
      <c r="A379" s="141"/>
    </row>
    <row r="380" spans="1:1">
      <c r="A380" s="141"/>
    </row>
    <row r="381" spans="1:1">
      <c r="A381" s="141"/>
    </row>
    <row r="382" spans="1:1">
      <c r="A382" s="141"/>
    </row>
    <row r="383" spans="1:1">
      <c r="A383" s="141"/>
    </row>
    <row r="384" spans="1:1">
      <c r="A384" s="141"/>
    </row>
    <row r="385" spans="1:1">
      <c r="A385" s="141"/>
    </row>
    <row r="386" spans="1:1">
      <c r="A386" s="141"/>
    </row>
    <row r="387" spans="1:1">
      <c r="A387" s="141"/>
    </row>
    <row r="388" spans="1:1">
      <c r="A388" s="141"/>
    </row>
    <row r="389" spans="1:1">
      <c r="A389" s="141"/>
    </row>
    <row r="390" spans="1:1">
      <c r="A390" s="141"/>
    </row>
    <row r="391" spans="1:1">
      <c r="A391" s="141"/>
    </row>
    <row r="392" spans="1:1">
      <c r="A392" s="141"/>
    </row>
    <row r="393" spans="1:1">
      <c r="A393" s="141"/>
    </row>
    <row r="394" spans="1:1">
      <c r="A394" s="141"/>
    </row>
    <row r="395" spans="1:1">
      <c r="A395" s="141"/>
    </row>
    <row r="396" spans="1:1">
      <c r="A396" s="141"/>
    </row>
    <row r="397" spans="1:1">
      <c r="A397" s="141"/>
    </row>
    <row r="398" spans="1:1">
      <c r="A398" s="141"/>
    </row>
    <row r="399" spans="1:1">
      <c r="A399" s="141"/>
    </row>
    <row r="400" spans="1:1">
      <c r="A400" s="141"/>
    </row>
    <row r="401" spans="1:1">
      <c r="A401" s="141"/>
    </row>
    <row r="402" spans="1:1">
      <c r="A402" s="141"/>
    </row>
    <row r="403" spans="1:1">
      <c r="A403" s="141"/>
    </row>
    <row r="404" spans="1:1">
      <c r="A404" s="141"/>
    </row>
    <row r="405" spans="1:1">
      <c r="A405" s="141"/>
    </row>
    <row r="406" spans="1:1">
      <c r="A406" s="141"/>
    </row>
    <row r="407" spans="1:1">
      <c r="A407" s="141"/>
    </row>
    <row r="408" spans="1:1">
      <c r="A408" s="141"/>
    </row>
    <row r="409" spans="1:1">
      <c r="A409" s="141"/>
    </row>
    <row r="410" spans="1:1">
      <c r="A410" s="141"/>
    </row>
    <row r="411" spans="1:1">
      <c r="A411" s="141"/>
    </row>
    <row r="412" spans="1:1">
      <c r="A412" s="141"/>
    </row>
    <row r="413" spans="1:1">
      <c r="A413" s="141"/>
    </row>
    <row r="414" spans="1:1">
      <c r="A414" s="141"/>
    </row>
    <row r="415" spans="1:1">
      <c r="A415" s="141"/>
    </row>
    <row r="416" spans="1:1">
      <c r="A416" s="141"/>
    </row>
    <row r="417" spans="1:1">
      <c r="A417" s="141"/>
    </row>
    <row r="418" spans="1:1">
      <c r="A418" s="141"/>
    </row>
    <row r="419" spans="1:1">
      <c r="A419" s="141"/>
    </row>
    <row r="420" spans="1:1">
      <c r="A420" s="141"/>
    </row>
    <row r="421" spans="1:1">
      <c r="A421" s="141"/>
    </row>
    <row r="422" spans="1:1">
      <c r="A422" s="141"/>
    </row>
    <row r="423" spans="1:1">
      <c r="A423" s="141"/>
    </row>
    <row r="424" spans="1:1">
      <c r="A424" s="141"/>
    </row>
    <row r="425" spans="1:1">
      <c r="A425" s="141"/>
    </row>
    <row r="426" spans="1:1">
      <c r="A426" s="141"/>
    </row>
    <row r="427" spans="1:1">
      <c r="A427" s="141"/>
    </row>
    <row r="428" spans="1:1">
      <c r="A428" s="141"/>
    </row>
    <row r="429" spans="1:1">
      <c r="A429" s="141"/>
    </row>
    <row r="430" spans="1:1">
      <c r="A430" s="141"/>
    </row>
    <row r="431" spans="1:1">
      <c r="A431" s="141"/>
    </row>
    <row r="432" spans="1:1">
      <c r="A432" s="141"/>
    </row>
    <row r="433" spans="1:1">
      <c r="A433" s="141"/>
    </row>
    <row r="434" spans="1:1">
      <c r="A434" s="141"/>
    </row>
    <row r="435" spans="1:1">
      <c r="A435" s="141"/>
    </row>
    <row r="436" spans="1:1">
      <c r="A436" s="141"/>
    </row>
    <row r="437" spans="1:1">
      <c r="A437" s="141"/>
    </row>
    <row r="438" spans="1:1">
      <c r="A438" s="141"/>
    </row>
    <row r="439" spans="1:1">
      <c r="A439" s="141"/>
    </row>
    <row r="440" spans="1:1">
      <c r="A440" s="141"/>
    </row>
    <row r="441" spans="1:1">
      <c r="A441" s="141"/>
    </row>
    <row r="442" spans="1:1">
      <c r="A442" s="141"/>
    </row>
    <row r="443" spans="1:1">
      <c r="A443" s="141"/>
    </row>
    <row r="444" spans="1:1">
      <c r="A444" s="141"/>
    </row>
    <row r="445" spans="1:1">
      <c r="A445" s="141"/>
    </row>
    <row r="446" spans="1:1">
      <c r="A446" s="141"/>
    </row>
    <row r="447" spans="1:1">
      <c r="A447" s="141"/>
    </row>
    <row r="448" spans="1:1">
      <c r="A448" s="141"/>
    </row>
    <row r="449" spans="1:1">
      <c r="A449" s="141"/>
    </row>
    <row r="450" spans="1:1">
      <c r="A450" s="141"/>
    </row>
    <row r="451" spans="1:1">
      <c r="A451" s="141"/>
    </row>
    <row r="452" spans="1:1">
      <c r="A452" s="141"/>
    </row>
    <row r="453" spans="1:1">
      <c r="A453" s="141"/>
    </row>
    <row r="454" spans="1:1">
      <c r="A454" s="141"/>
    </row>
    <row r="455" spans="1:1">
      <c r="A455" s="141"/>
    </row>
    <row r="456" spans="1:1">
      <c r="A456" s="141"/>
    </row>
    <row r="457" spans="1:1">
      <c r="A457" s="141"/>
    </row>
    <row r="458" spans="1:1">
      <c r="A458" s="141"/>
    </row>
    <row r="459" spans="1:1">
      <c r="A459" s="141"/>
    </row>
    <row r="460" spans="1:1">
      <c r="A460" s="141"/>
    </row>
    <row r="461" spans="1:1">
      <c r="A461" s="141"/>
    </row>
    <row r="462" spans="1:1">
      <c r="A462" s="141"/>
    </row>
    <row r="463" spans="1:1">
      <c r="A463" s="141"/>
    </row>
    <row r="464" spans="1:1">
      <c r="A464" s="141"/>
    </row>
    <row r="465" spans="1:1">
      <c r="A465" s="141"/>
    </row>
    <row r="466" spans="1:1">
      <c r="A466" s="141"/>
    </row>
    <row r="467" spans="1:1">
      <c r="A467" s="141"/>
    </row>
    <row r="468" spans="1:1">
      <c r="A468" s="141"/>
    </row>
    <row r="469" spans="1:1">
      <c r="A469" s="141"/>
    </row>
    <row r="470" spans="1:1">
      <c r="A470" s="141"/>
    </row>
    <row r="471" spans="1:1">
      <c r="A471" s="141"/>
    </row>
    <row r="472" spans="1:1">
      <c r="A472" s="141"/>
    </row>
    <row r="473" spans="1:1">
      <c r="A473" s="141"/>
    </row>
    <row r="474" spans="1:1">
      <c r="A474" s="141"/>
    </row>
    <row r="475" spans="1:1">
      <c r="A475" s="141"/>
    </row>
    <row r="476" spans="1:1">
      <c r="A476" s="141"/>
    </row>
    <row r="477" spans="1:1">
      <c r="A477" s="141"/>
    </row>
    <row r="478" spans="1:1">
      <c r="A478" s="141"/>
    </row>
    <row r="479" spans="1:1">
      <c r="A479" s="141"/>
    </row>
    <row r="480" spans="1:1">
      <c r="A480" s="141"/>
    </row>
    <row r="481" spans="1:1">
      <c r="A481" s="141"/>
    </row>
    <row r="482" spans="1:1">
      <c r="A482" s="141"/>
    </row>
    <row r="483" spans="1:1">
      <c r="A483" s="141"/>
    </row>
    <row r="484" spans="1:1">
      <c r="A484" s="141"/>
    </row>
    <row r="485" spans="1:1">
      <c r="A485" s="141"/>
    </row>
    <row r="486" spans="1:1">
      <c r="A486" s="141"/>
    </row>
    <row r="487" spans="1:1">
      <c r="A487" s="141"/>
    </row>
    <row r="488" spans="1:1">
      <c r="A488" s="141"/>
    </row>
    <row r="489" spans="1:1">
      <c r="A489" s="141"/>
    </row>
    <row r="490" spans="1:1">
      <c r="A490" s="141"/>
    </row>
    <row r="491" spans="1:1">
      <c r="A491" s="141"/>
    </row>
    <row r="492" spans="1:1">
      <c r="A492" s="141"/>
    </row>
    <row r="493" spans="1:1">
      <c r="A493" s="141"/>
    </row>
    <row r="494" spans="1:1">
      <c r="A494" s="141"/>
    </row>
    <row r="495" spans="1:1">
      <c r="A495" s="141"/>
    </row>
    <row r="496" spans="1:1">
      <c r="A496" s="141"/>
    </row>
    <row r="497" spans="1:1">
      <c r="A497" s="141"/>
    </row>
    <row r="498" spans="1:1">
      <c r="A498" s="141"/>
    </row>
    <row r="499" spans="1:1">
      <c r="A499" s="141"/>
    </row>
    <row r="500" spans="1:1">
      <c r="A500" s="141"/>
    </row>
    <row r="501" spans="1:1">
      <c r="A501" s="141"/>
    </row>
    <row r="502" spans="1:1">
      <c r="A502" s="141"/>
    </row>
    <row r="503" spans="1:1">
      <c r="A503" s="141"/>
    </row>
    <row r="504" spans="1:1">
      <c r="A504" s="141"/>
    </row>
    <row r="505" spans="1:1">
      <c r="A505" s="141"/>
    </row>
    <row r="506" spans="1:1">
      <c r="A506" s="141"/>
    </row>
    <row r="507" spans="1:1">
      <c r="A507" s="141"/>
    </row>
    <row r="508" spans="1:1">
      <c r="A508" s="141"/>
    </row>
  </sheetData>
  <mergeCells count="37">
    <mergeCell ref="C184:F184"/>
    <mergeCell ref="G184:H184"/>
    <mergeCell ref="A142:H142"/>
    <mergeCell ref="A151:H151"/>
    <mergeCell ref="B182:H182"/>
    <mergeCell ref="C183:F183"/>
    <mergeCell ref="G183:H183"/>
    <mergeCell ref="A31:H31"/>
    <mergeCell ref="A93:H93"/>
    <mergeCell ref="A108:H108"/>
    <mergeCell ref="A121:H121"/>
    <mergeCell ref="A127:H127"/>
    <mergeCell ref="A26:H26"/>
    <mergeCell ref="A28:A29"/>
    <mergeCell ref="B28:B29"/>
    <mergeCell ref="C28:D28"/>
    <mergeCell ref="E28:H28"/>
    <mergeCell ref="B19:E19"/>
    <mergeCell ref="A21:H21"/>
    <mergeCell ref="A22:H22"/>
    <mergeCell ref="A23:H23"/>
    <mergeCell ref="A24:H24"/>
    <mergeCell ref="B15:E15"/>
    <mergeCell ref="F15:G15"/>
    <mergeCell ref="B16:E16"/>
    <mergeCell ref="B17:E17"/>
    <mergeCell ref="B18:E18"/>
    <mergeCell ref="B11:E11"/>
    <mergeCell ref="B12:E12"/>
    <mergeCell ref="B13:E13"/>
    <mergeCell ref="B14:E14"/>
    <mergeCell ref="F14:G14"/>
    <mergeCell ref="F2:H6"/>
    <mergeCell ref="B7:E7"/>
    <mergeCell ref="B8:F8"/>
    <mergeCell ref="B9:E9"/>
    <mergeCell ref="B10:E10"/>
  </mergeCells>
  <pageMargins left="0.59055118110236227" right="0" top="0.39370078740157483" bottom="0.39370078740157483" header="0.31496062992125984" footer="0.31496062992125984"/>
  <pageSetup scale="85" orientation="landscape" horizontalDpi="300" verticalDpi="300"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115" zoomScaleNormal="115" workbookViewId="0">
      <selection activeCell="T28" sqref="T28"/>
    </sheetView>
  </sheetViews>
  <sheetFormatPr defaultRowHeight="12.75"/>
  <cols>
    <col min="1" max="1" width="4" style="367" customWidth="1"/>
    <col min="2" max="2" width="12.140625" style="367" customWidth="1"/>
    <col min="3" max="3" width="10" style="367" customWidth="1"/>
    <col min="4" max="4" width="8.5703125" style="367" customWidth="1"/>
    <col min="5" max="5" width="9" style="367" customWidth="1"/>
    <col min="6" max="6" width="10.42578125" style="367" customWidth="1"/>
    <col min="7" max="7" width="7" style="367" customWidth="1"/>
    <col min="8" max="8" width="9.85546875" style="367" customWidth="1"/>
    <col min="9" max="9" width="10" style="367" customWidth="1"/>
    <col min="10" max="10" width="11" style="367" customWidth="1"/>
    <col min="11" max="11" width="7.28515625" style="367" customWidth="1"/>
    <col min="12" max="16384" width="9.140625" style="367"/>
  </cols>
  <sheetData>
    <row r="1" spans="1:13" ht="22.5" customHeight="1">
      <c r="J1" s="369" t="s">
        <v>298</v>
      </c>
    </row>
    <row r="2" spans="1:13" ht="18.75">
      <c r="A2" s="449" t="s">
        <v>316</v>
      </c>
      <c r="B2" s="449"/>
      <c r="C2" s="449"/>
      <c r="D2" s="449"/>
      <c r="E2" s="449"/>
      <c r="F2" s="449"/>
      <c r="G2" s="449"/>
      <c r="H2" s="449"/>
      <c r="I2" s="449"/>
      <c r="J2" s="449"/>
      <c r="K2" s="449"/>
    </row>
    <row r="3" spans="1:13">
      <c r="A3" s="370"/>
      <c r="B3" s="370"/>
      <c r="C3" s="370"/>
      <c r="D3" s="370"/>
      <c r="E3" s="370"/>
      <c r="F3" s="370"/>
      <c r="G3" s="370"/>
      <c r="H3" s="370"/>
      <c r="I3" s="370"/>
      <c r="J3" s="370"/>
      <c r="K3" s="370"/>
    </row>
    <row r="4" spans="1:13" ht="19.5" customHeight="1">
      <c r="A4" s="450" t="s">
        <v>277</v>
      </c>
      <c r="B4" s="450" t="s">
        <v>278</v>
      </c>
      <c r="C4" s="450" t="s">
        <v>279</v>
      </c>
      <c r="D4" s="445" t="s">
        <v>280</v>
      </c>
      <c r="E4" s="445"/>
      <c r="F4" s="445"/>
      <c r="G4" s="445"/>
      <c r="H4" s="445" t="s">
        <v>284</v>
      </c>
      <c r="I4" s="445"/>
      <c r="J4" s="445"/>
      <c r="K4" s="445"/>
    </row>
    <row r="5" spans="1:13" ht="45" customHeight="1">
      <c r="A5" s="450"/>
      <c r="B5" s="450"/>
      <c r="C5" s="450"/>
      <c r="D5" s="368" t="s">
        <v>281</v>
      </c>
      <c r="E5" s="368" t="s">
        <v>282</v>
      </c>
      <c r="F5" s="368" t="s">
        <v>283</v>
      </c>
      <c r="G5" s="368" t="s">
        <v>317</v>
      </c>
      <c r="H5" s="368" t="s">
        <v>281</v>
      </c>
      <c r="I5" s="368" t="s">
        <v>282</v>
      </c>
      <c r="J5" s="368" t="s">
        <v>283</v>
      </c>
      <c r="K5" s="368" t="s">
        <v>285</v>
      </c>
      <c r="L5" s="371"/>
    </row>
    <row r="6" spans="1:13">
      <c r="A6" s="372">
        <v>1</v>
      </c>
      <c r="B6" s="372">
        <f>A6+1</f>
        <v>2</v>
      </c>
      <c r="C6" s="372">
        <f t="shared" ref="C6:K6" si="0">B6+1</f>
        <v>3</v>
      </c>
      <c r="D6" s="372">
        <f t="shared" si="0"/>
        <v>4</v>
      </c>
      <c r="E6" s="372">
        <f t="shared" si="0"/>
        <v>5</v>
      </c>
      <c r="F6" s="372">
        <f t="shared" si="0"/>
        <v>6</v>
      </c>
      <c r="G6" s="372">
        <f t="shared" si="0"/>
        <v>7</v>
      </c>
      <c r="H6" s="372">
        <f>G6+1</f>
        <v>8</v>
      </c>
      <c r="I6" s="372">
        <f t="shared" si="0"/>
        <v>9</v>
      </c>
      <c r="J6" s="372">
        <f t="shared" si="0"/>
        <v>10</v>
      </c>
      <c r="K6" s="372">
        <f t="shared" si="0"/>
        <v>11</v>
      </c>
    </row>
    <row r="7" spans="1:13">
      <c r="A7" s="447">
        <v>1</v>
      </c>
      <c r="B7" s="448" t="s">
        <v>315</v>
      </c>
      <c r="C7" s="448" t="s">
        <v>297</v>
      </c>
      <c r="D7" s="373">
        <f>'4 кв'!C32</f>
        <v>24513.299999999996</v>
      </c>
      <c r="E7" s="374">
        <f>'4 кв'!D32</f>
        <v>24088.698</v>
      </c>
      <c r="F7" s="375">
        <f>E7/D7*100</f>
        <v>98.267870910893279</v>
      </c>
      <c r="G7" s="374">
        <f>E7-D7</f>
        <v>-424.60199999999531</v>
      </c>
      <c r="H7" s="374">
        <f>'4 кв'!C48</f>
        <v>22185.9605434</v>
      </c>
      <c r="I7" s="374">
        <f>'4 кв'!D48</f>
        <v>22817.272000000004</v>
      </c>
      <c r="J7" s="375">
        <f>I7/H7*100</f>
        <v>102.8455448451963</v>
      </c>
      <c r="K7" s="374">
        <f>I7-H7</f>
        <v>631.31145660000402</v>
      </c>
    </row>
    <row r="8" spans="1:13" ht="19.5" customHeight="1">
      <c r="A8" s="447"/>
      <c r="B8" s="448"/>
      <c r="C8" s="448"/>
      <c r="D8" s="445" t="s">
        <v>286</v>
      </c>
      <c r="E8" s="445"/>
      <c r="F8" s="445"/>
      <c r="G8" s="445"/>
      <c r="H8" s="445" t="s">
        <v>287</v>
      </c>
      <c r="I8" s="445"/>
      <c r="J8" s="445"/>
      <c r="K8" s="445"/>
    </row>
    <row r="9" spans="1:13" ht="38.25">
      <c r="A9" s="447"/>
      <c r="B9" s="448"/>
      <c r="C9" s="448"/>
      <c r="D9" s="376" t="s">
        <v>281</v>
      </c>
      <c r="E9" s="376" t="s">
        <v>282</v>
      </c>
      <c r="F9" s="376" t="s">
        <v>283</v>
      </c>
      <c r="G9" s="376" t="s">
        <v>285</v>
      </c>
      <c r="H9" s="376" t="s">
        <v>281</v>
      </c>
      <c r="I9" s="376" t="s">
        <v>282</v>
      </c>
      <c r="J9" s="376" t="s">
        <v>283</v>
      </c>
      <c r="K9" s="376" t="s">
        <v>285</v>
      </c>
    </row>
    <row r="10" spans="1:13">
      <c r="A10" s="447"/>
      <c r="B10" s="448"/>
      <c r="C10" s="448"/>
      <c r="D10" s="372">
        <v>12</v>
      </c>
      <c r="E10" s="372">
        <f>D10+1</f>
        <v>13</v>
      </c>
      <c r="F10" s="372">
        <f t="shared" ref="F10:K10" si="1">E10+1</f>
        <v>14</v>
      </c>
      <c r="G10" s="372">
        <f t="shared" si="1"/>
        <v>15</v>
      </c>
      <c r="H10" s="372">
        <f t="shared" si="1"/>
        <v>16</v>
      </c>
      <c r="I10" s="372">
        <f t="shared" si="1"/>
        <v>17</v>
      </c>
      <c r="J10" s="372">
        <f t="shared" si="1"/>
        <v>18</v>
      </c>
      <c r="K10" s="372">
        <f t="shared" si="1"/>
        <v>19</v>
      </c>
    </row>
    <row r="11" spans="1:13">
      <c r="A11" s="447"/>
      <c r="B11" s="448"/>
      <c r="C11" s="448"/>
      <c r="D11" s="373">
        <v>13765.6</v>
      </c>
      <c r="E11" s="373">
        <v>14067.8</v>
      </c>
      <c r="F11" s="375">
        <f>E11/D11*100</f>
        <v>102.19532748300108</v>
      </c>
      <c r="G11" s="373">
        <f>E11-D11</f>
        <v>302.19999999999891</v>
      </c>
      <c r="H11" s="373">
        <v>2327.3000000000002</v>
      </c>
      <c r="I11" s="373">
        <v>1271.4000000000001</v>
      </c>
      <c r="J11" s="375">
        <f>I11/H11*100</f>
        <v>54.629828556696602</v>
      </c>
      <c r="K11" s="373">
        <f>I11-H11</f>
        <v>-1055.9000000000001</v>
      </c>
      <c r="M11" s="377"/>
    </row>
    <row r="12" spans="1:13" ht="31.5" customHeight="1">
      <c r="A12" s="447"/>
      <c r="B12" s="448"/>
      <c r="C12" s="448"/>
      <c r="D12" s="446" t="s">
        <v>288</v>
      </c>
      <c r="E12" s="446"/>
      <c r="F12" s="446"/>
      <c r="G12" s="446"/>
      <c r="H12" s="446" t="s">
        <v>289</v>
      </c>
      <c r="I12" s="446"/>
      <c r="J12" s="446"/>
      <c r="K12" s="446"/>
    </row>
    <row r="13" spans="1:13" ht="38.25">
      <c r="A13" s="447"/>
      <c r="B13" s="448"/>
      <c r="C13" s="448"/>
      <c r="D13" s="376" t="s">
        <v>281</v>
      </c>
      <c r="E13" s="376" t="s">
        <v>282</v>
      </c>
      <c r="F13" s="376" t="s">
        <v>283</v>
      </c>
      <c r="G13" s="376" t="s">
        <v>285</v>
      </c>
      <c r="H13" s="376" t="s">
        <v>281</v>
      </c>
      <c r="I13" s="376" t="s">
        <v>282</v>
      </c>
      <c r="J13" s="376" t="s">
        <v>283</v>
      </c>
      <c r="K13" s="376" t="s">
        <v>285</v>
      </c>
    </row>
    <row r="14" spans="1:13">
      <c r="A14" s="447"/>
      <c r="B14" s="448"/>
      <c r="C14" s="448"/>
      <c r="D14" s="372">
        <v>20</v>
      </c>
      <c r="E14" s="372">
        <f>D14+1</f>
        <v>21</v>
      </c>
      <c r="F14" s="372">
        <f t="shared" ref="F14:K14" si="2">E14+1</f>
        <v>22</v>
      </c>
      <c r="G14" s="372">
        <f t="shared" si="2"/>
        <v>23</v>
      </c>
      <c r="H14" s="372">
        <f t="shared" si="2"/>
        <v>24</v>
      </c>
      <c r="I14" s="372">
        <f t="shared" si="2"/>
        <v>25</v>
      </c>
      <c r="J14" s="372">
        <f t="shared" si="2"/>
        <v>26</v>
      </c>
      <c r="K14" s="372">
        <f t="shared" si="2"/>
        <v>27</v>
      </c>
    </row>
    <row r="15" spans="1:13">
      <c r="A15" s="447"/>
      <c r="B15" s="448"/>
      <c r="C15" s="448"/>
      <c r="D15" s="373"/>
      <c r="E15" s="373"/>
      <c r="F15" s="373"/>
      <c r="G15" s="373"/>
      <c r="H15" s="373"/>
      <c r="I15" s="373"/>
      <c r="J15" s="373"/>
      <c r="K15" s="373"/>
    </row>
    <row r="16" spans="1:13" ht="20.25" customHeight="1">
      <c r="A16" s="447"/>
      <c r="B16" s="448"/>
      <c r="C16" s="448"/>
      <c r="D16" s="445" t="s">
        <v>290</v>
      </c>
      <c r="E16" s="445"/>
      <c r="F16" s="445"/>
      <c r="G16" s="445"/>
      <c r="H16" s="445" t="s">
        <v>291</v>
      </c>
      <c r="I16" s="445"/>
      <c r="J16" s="445"/>
      <c r="K16" s="445"/>
    </row>
    <row r="17" spans="1:20" ht="43.5" customHeight="1">
      <c r="A17" s="447"/>
      <c r="B17" s="448"/>
      <c r="C17" s="448"/>
      <c r="D17" s="376" t="s">
        <v>281</v>
      </c>
      <c r="E17" s="376" t="s">
        <v>282</v>
      </c>
      <c r="F17" s="376" t="s">
        <v>283</v>
      </c>
      <c r="G17" s="376" t="s">
        <v>285</v>
      </c>
      <c r="H17" s="376" t="s">
        <v>281</v>
      </c>
      <c r="I17" s="376" t="s">
        <v>282</v>
      </c>
      <c r="J17" s="376" t="s">
        <v>283</v>
      </c>
      <c r="K17" s="376" t="s">
        <v>285</v>
      </c>
    </row>
    <row r="18" spans="1:20">
      <c r="A18" s="447"/>
      <c r="B18" s="448"/>
      <c r="C18" s="448"/>
      <c r="D18" s="372">
        <f>K14+1</f>
        <v>28</v>
      </c>
      <c r="E18" s="372">
        <f>D18+1</f>
        <v>29</v>
      </c>
      <c r="F18" s="372">
        <f t="shared" ref="F18:K18" si="3">E18+1</f>
        <v>30</v>
      </c>
      <c r="G18" s="372">
        <f t="shared" si="3"/>
        <v>31</v>
      </c>
      <c r="H18" s="372">
        <f t="shared" si="3"/>
        <v>32</v>
      </c>
      <c r="I18" s="372">
        <f t="shared" si="3"/>
        <v>33</v>
      </c>
      <c r="J18" s="372">
        <f t="shared" si="3"/>
        <v>34</v>
      </c>
      <c r="K18" s="372">
        <f t="shared" si="3"/>
        <v>35</v>
      </c>
    </row>
    <row r="19" spans="1:20">
      <c r="A19" s="447"/>
      <c r="B19" s="448"/>
      <c r="C19" s="448"/>
      <c r="D19" s="373">
        <v>107</v>
      </c>
      <c r="E19" s="373">
        <v>109</v>
      </c>
      <c r="F19" s="375">
        <f>E19/D19*100</f>
        <v>101.86915887850468</v>
      </c>
      <c r="G19" s="373">
        <f>E19-D19</f>
        <v>2</v>
      </c>
      <c r="H19" s="374">
        <f>'4 кв'!C173/1000</f>
        <v>11.938356108490565</v>
      </c>
      <c r="I19" s="374">
        <f>'4 кв'!D173/1000</f>
        <v>11.818241904761907</v>
      </c>
      <c r="J19" s="374">
        <f>I19/H19*100</f>
        <v>98.993879872261203</v>
      </c>
      <c r="K19" s="374">
        <f>I19-H19</f>
        <v>-0.120114203728658</v>
      </c>
    </row>
    <row r="20" spans="1:20" ht="33" customHeight="1">
      <c r="A20" s="447"/>
      <c r="B20" s="448"/>
      <c r="C20" s="448"/>
      <c r="D20" s="444" t="s">
        <v>292</v>
      </c>
      <c r="E20" s="444"/>
      <c r="F20" s="444"/>
      <c r="G20" s="444"/>
      <c r="H20" s="444" t="s">
        <v>309</v>
      </c>
      <c r="I20" s="444"/>
      <c r="J20" s="444"/>
      <c r="K20" s="444"/>
    </row>
    <row r="21" spans="1:20" ht="42" customHeight="1">
      <c r="A21" s="447"/>
      <c r="B21" s="448"/>
      <c r="C21" s="448"/>
      <c r="D21" s="376" t="s">
        <v>281</v>
      </c>
      <c r="E21" s="376" t="s">
        <v>282</v>
      </c>
      <c r="F21" s="376" t="s">
        <v>283</v>
      </c>
      <c r="G21" s="376" t="s">
        <v>285</v>
      </c>
      <c r="H21" s="376" t="s">
        <v>310</v>
      </c>
      <c r="I21" s="376" t="s">
        <v>311</v>
      </c>
      <c r="J21" s="376" t="s">
        <v>283</v>
      </c>
      <c r="K21" s="376" t="s">
        <v>285</v>
      </c>
      <c r="P21" s="367" t="s">
        <v>300</v>
      </c>
      <c r="Q21" s="367" t="s">
        <v>307</v>
      </c>
      <c r="R21" s="367" t="s">
        <v>308</v>
      </c>
    </row>
    <row r="22" spans="1:20">
      <c r="A22" s="447"/>
      <c r="B22" s="448"/>
      <c r="C22" s="448"/>
      <c r="D22" s="372">
        <f>'4 кв'!C100</f>
        <v>2766.6000000000004</v>
      </c>
      <c r="E22" s="372">
        <f>'4 кв'!D100</f>
        <v>2811.7999999999997</v>
      </c>
      <c r="F22" s="378">
        <f>E22/D22*100</f>
        <v>101.63377430781462</v>
      </c>
      <c r="G22" s="372">
        <f>E22-D22</f>
        <v>45.199999999999363</v>
      </c>
      <c r="H22" s="372" t="s">
        <v>318</v>
      </c>
      <c r="I22" s="372" t="s">
        <v>312</v>
      </c>
      <c r="J22" s="372" t="s">
        <v>313</v>
      </c>
      <c r="K22" s="379" t="s">
        <v>314</v>
      </c>
      <c r="M22" s="367" t="s">
        <v>301</v>
      </c>
      <c r="N22" s="367">
        <v>1</v>
      </c>
      <c r="O22" s="367">
        <f t="shared" ref="O22:O27" si="4">N22*12</f>
        <v>12</v>
      </c>
      <c r="P22" s="367">
        <f t="shared" ref="P22:P27" si="5">O22*1/2</f>
        <v>6</v>
      </c>
      <c r="Q22" s="367">
        <f>O22</f>
        <v>12</v>
      </c>
      <c r="R22" s="367">
        <v>2</v>
      </c>
      <c r="S22" s="367">
        <f>SUM(P22:R22)</f>
        <v>20</v>
      </c>
      <c r="T22" s="367">
        <f>S22/12</f>
        <v>1.6666666666666667</v>
      </c>
    </row>
    <row r="23" spans="1:20" ht="21.75" customHeight="1">
      <c r="A23" s="447"/>
      <c r="B23" s="448"/>
      <c r="C23" s="448"/>
      <c r="D23" s="444" t="s">
        <v>293</v>
      </c>
      <c r="E23" s="444"/>
      <c r="F23" s="444"/>
      <c r="G23" s="444"/>
      <c r="H23" s="444" t="s">
        <v>294</v>
      </c>
      <c r="I23" s="444"/>
      <c r="J23" s="444"/>
      <c r="K23" s="444"/>
      <c r="M23" s="367" t="s">
        <v>302</v>
      </c>
      <c r="N23" s="367">
        <v>1</v>
      </c>
      <c r="O23" s="367">
        <f t="shared" si="4"/>
        <v>12</v>
      </c>
      <c r="P23" s="367">
        <f t="shared" si="5"/>
        <v>6</v>
      </c>
      <c r="Q23" s="367">
        <f>O23</f>
        <v>12</v>
      </c>
      <c r="R23" s="367">
        <v>2</v>
      </c>
    </row>
    <row r="24" spans="1:20" ht="43.5" customHeight="1">
      <c r="A24" s="447"/>
      <c r="B24" s="448"/>
      <c r="C24" s="448"/>
      <c r="D24" s="376" t="s">
        <v>281</v>
      </c>
      <c r="E24" s="376" t="s">
        <v>282</v>
      </c>
      <c r="F24" s="376" t="s">
        <v>283</v>
      </c>
      <c r="G24" s="376" t="s">
        <v>285</v>
      </c>
      <c r="H24" s="376" t="s">
        <v>281</v>
      </c>
      <c r="I24" s="376" t="s">
        <v>282</v>
      </c>
      <c r="J24" s="376" t="s">
        <v>283</v>
      </c>
      <c r="K24" s="376" t="s">
        <v>285</v>
      </c>
      <c r="M24" s="367" t="s">
        <v>303</v>
      </c>
      <c r="N24" s="367">
        <v>0.75</v>
      </c>
      <c r="O24" s="367">
        <f t="shared" si="4"/>
        <v>9</v>
      </c>
      <c r="P24" s="367">
        <v>4</v>
      </c>
      <c r="Q24" s="367">
        <v>8</v>
      </c>
      <c r="R24" s="367">
        <v>1</v>
      </c>
    </row>
    <row r="25" spans="1:20">
      <c r="A25" s="447"/>
      <c r="B25" s="448"/>
      <c r="C25" s="448"/>
      <c r="D25" s="373">
        <f>'4 кв'!C130</f>
        <v>8085.1</v>
      </c>
      <c r="E25" s="373">
        <f>'4 кв'!D130</f>
        <v>8924.6</v>
      </c>
      <c r="F25" s="375">
        <f>E25/D25*100</f>
        <v>110.38329767102448</v>
      </c>
      <c r="G25" s="373">
        <f>E25-D25</f>
        <v>839.5</v>
      </c>
      <c r="H25" s="373"/>
      <c r="I25" s="373"/>
      <c r="J25" s="373"/>
      <c r="K25" s="373"/>
      <c r="M25" s="367" t="s">
        <v>304</v>
      </c>
      <c r="N25" s="367">
        <v>1</v>
      </c>
      <c r="O25" s="367">
        <f t="shared" si="4"/>
        <v>12</v>
      </c>
      <c r="P25" s="367">
        <f t="shared" si="5"/>
        <v>6</v>
      </c>
      <c r="Q25" s="367">
        <f>O25</f>
        <v>12</v>
      </c>
      <c r="R25" s="367">
        <v>2</v>
      </c>
    </row>
    <row r="26" spans="1:20" ht="21" customHeight="1">
      <c r="A26" s="447"/>
      <c r="B26" s="448"/>
      <c r="C26" s="448"/>
      <c r="D26" s="444" t="s">
        <v>295</v>
      </c>
      <c r="E26" s="444"/>
      <c r="F26" s="444"/>
      <c r="G26" s="444"/>
      <c r="H26" s="444" t="s">
        <v>296</v>
      </c>
      <c r="I26" s="444"/>
      <c r="J26" s="444"/>
      <c r="K26" s="444"/>
      <c r="M26" s="367" t="s">
        <v>305</v>
      </c>
      <c r="N26" s="367">
        <v>0.5</v>
      </c>
      <c r="O26" s="367">
        <f t="shared" si="4"/>
        <v>6</v>
      </c>
      <c r="P26" s="367">
        <f t="shared" si="5"/>
        <v>3</v>
      </c>
      <c r="Q26" s="367">
        <f>O26</f>
        <v>6</v>
      </c>
      <c r="R26" s="367">
        <v>0.5</v>
      </c>
    </row>
    <row r="27" spans="1:20" ht="42.75" customHeight="1">
      <c r="A27" s="447"/>
      <c r="B27" s="448"/>
      <c r="C27" s="448"/>
      <c r="D27" s="376" t="s">
        <v>281</v>
      </c>
      <c r="E27" s="376" t="s">
        <v>282</v>
      </c>
      <c r="F27" s="376" t="s">
        <v>283</v>
      </c>
      <c r="G27" s="376" t="s">
        <v>285</v>
      </c>
      <c r="H27" s="376" t="s">
        <v>281</v>
      </c>
      <c r="I27" s="376" t="s">
        <v>282</v>
      </c>
      <c r="J27" s="376" t="s">
        <v>283</v>
      </c>
      <c r="K27" s="376" t="s">
        <v>285</v>
      </c>
      <c r="M27" s="367" t="s">
        <v>306</v>
      </c>
      <c r="N27" s="367">
        <v>0.5</v>
      </c>
      <c r="O27" s="367">
        <f t="shared" si="4"/>
        <v>6</v>
      </c>
      <c r="P27" s="367">
        <f t="shared" si="5"/>
        <v>3</v>
      </c>
      <c r="Q27" s="367">
        <f>O27</f>
        <v>6</v>
      </c>
      <c r="R27" s="367">
        <v>0.5</v>
      </c>
    </row>
    <row r="28" spans="1:20">
      <c r="A28" s="447"/>
      <c r="B28" s="448"/>
      <c r="C28" s="448"/>
      <c r="D28" s="373">
        <f>'4 кв'!C129</f>
        <v>2383.9000000000005</v>
      </c>
      <c r="E28" s="373">
        <f>'4 кв'!D129</f>
        <v>2879.3</v>
      </c>
      <c r="F28" s="375">
        <f>E28/D28*100</f>
        <v>120.78107303158687</v>
      </c>
      <c r="G28" s="373">
        <f>E28-D28</f>
        <v>495.39999999999964</v>
      </c>
      <c r="H28" s="373">
        <f>412.3+24513.3</f>
        <v>24925.599999999999</v>
      </c>
      <c r="I28" s="373">
        <f>347.2+24088.7</f>
        <v>24435.9</v>
      </c>
      <c r="J28" s="375">
        <f>I28/H28*100</f>
        <v>98.035353211156419</v>
      </c>
      <c r="K28" s="373">
        <f>I28-H28</f>
        <v>-489.69999999999709</v>
      </c>
      <c r="P28" s="367">
        <f>SUM(P22:P27)</f>
        <v>28</v>
      </c>
      <c r="Q28" s="367">
        <f>SUM(Q22:Q27)</f>
        <v>56</v>
      </c>
      <c r="R28" s="367">
        <f>SUM(R22:R27)</f>
        <v>8</v>
      </c>
      <c r="T28" s="367">
        <f>Q28*Q30+R28*R30</f>
        <v>101320</v>
      </c>
    </row>
    <row r="29" spans="1:20" ht="54.75" customHeight="1">
      <c r="P29" s="367">
        <v>28</v>
      </c>
      <c r="Q29" s="367">
        <v>28</v>
      </c>
      <c r="R29" s="367">
        <v>10</v>
      </c>
    </row>
    <row r="30" spans="1:20">
      <c r="D30" s="377" t="s">
        <v>252</v>
      </c>
      <c r="E30" s="377"/>
      <c r="F30" s="377"/>
      <c r="G30" s="377"/>
      <c r="H30" s="377"/>
      <c r="I30" s="377" t="s">
        <v>249</v>
      </c>
      <c r="J30" s="377"/>
      <c r="P30" s="367">
        <v>1460</v>
      </c>
      <c r="Q30" s="367">
        <v>1520</v>
      </c>
      <c r="R30" s="367">
        <v>2025</v>
      </c>
    </row>
    <row r="31" spans="1:20">
      <c r="O31" s="367">
        <v>65700</v>
      </c>
      <c r="P31" s="367">
        <f>P30*P29</f>
        <v>40880</v>
      </c>
      <c r="Q31" s="367">
        <f>Q30*Q29</f>
        <v>42560</v>
      </c>
      <c r="R31" s="367">
        <f>R30*R29</f>
        <v>20250</v>
      </c>
      <c r="S31" s="367">
        <f>O31+30375</f>
        <v>96075</v>
      </c>
    </row>
    <row r="32" spans="1:20">
      <c r="R32" s="367">
        <f>SUM(P31:R31)</f>
        <v>103690</v>
      </c>
    </row>
  </sheetData>
  <mergeCells count="21">
    <mergeCell ref="A7:A28"/>
    <mergeCell ref="B7:B28"/>
    <mergeCell ref="C7:C28"/>
    <mergeCell ref="A2:K2"/>
    <mergeCell ref="A4:A5"/>
    <mergeCell ref="B4:B5"/>
    <mergeCell ref="C4:C5"/>
    <mergeCell ref="D16:G16"/>
    <mergeCell ref="D26:G26"/>
    <mergeCell ref="H26:K26"/>
    <mergeCell ref="H12:K12"/>
    <mergeCell ref="H16:K16"/>
    <mergeCell ref="D20:G20"/>
    <mergeCell ref="D23:G23"/>
    <mergeCell ref="H20:K20"/>
    <mergeCell ref="D4:G4"/>
    <mergeCell ref="H23:K23"/>
    <mergeCell ref="D8:G8"/>
    <mergeCell ref="H8:K8"/>
    <mergeCell ref="D12:G12"/>
    <mergeCell ref="H4:K4"/>
  </mergeCells>
  <phoneticPr fontId="80" type="noConversion"/>
  <pageMargins left="0" right="0" top="0" bottom="0"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115" zoomScaleNormal="115" workbookViewId="0">
      <selection activeCell="N12" sqref="N12"/>
    </sheetView>
  </sheetViews>
  <sheetFormatPr defaultRowHeight="12.75"/>
  <cols>
    <col min="1" max="1" width="4" style="367" customWidth="1"/>
    <col min="2" max="2" width="10" style="367" customWidth="1"/>
    <col min="3" max="5" width="9.140625" style="367"/>
    <col min="6" max="6" width="10.42578125" style="367" customWidth="1"/>
    <col min="7" max="7" width="10.5703125" style="367" customWidth="1"/>
    <col min="8" max="9" width="9.140625" style="367"/>
    <col min="10" max="10" width="10.5703125" style="367" customWidth="1"/>
    <col min="11" max="11" width="11" style="367" customWidth="1"/>
    <col min="12" max="16384" width="9.140625" style="367"/>
  </cols>
  <sheetData>
    <row r="1" spans="1:13" ht="22.5" customHeight="1">
      <c r="K1" s="369" t="s">
        <v>298</v>
      </c>
    </row>
    <row r="2" spans="1:13" ht="18.75">
      <c r="A2" s="449" t="s">
        <v>299</v>
      </c>
      <c r="B2" s="449"/>
      <c r="C2" s="449"/>
      <c r="D2" s="449"/>
      <c r="E2" s="449"/>
      <c r="F2" s="449"/>
      <c r="G2" s="449"/>
      <c r="H2" s="449"/>
      <c r="I2" s="449"/>
      <c r="J2" s="449"/>
      <c r="K2" s="449"/>
    </row>
    <row r="3" spans="1:13">
      <c r="A3" s="370"/>
      <c r="B3" s="370"/>
      <c r="C3" s="370"/>
      <c r="D3" s="370"/>
      <c r="E3" s="370"/>
      <c r="F3" s="370"/>
      <c r="G3" s="370"/>
      <c r="H3" s="370"/>
      <c r="I3" s="370"/>
      <c r="J3" s="370"/>
      <c r="K3" s="370"/>
    </row>
    <row r="4" spans="1:13" ht="19.5" customHeight="1">
      <c r="A4" s="450" t="s">
        <v>277</v>
      </c>
      <c r="B4" s="450" t="s">
        <v>278</v>
      </c>
      <c r="C4" s="450" t="s">
        <v>279</v>
      </c>
      <c r="D4" s="445" t="s">
        <v>280</v>
      </c>
      <c r="E4" s="445"/>
      <c r="F4" s="445"/>
      <c r="G4" s="445"/>
      <c r="H4" s="445" t="s">
        <v>284</v>
      </c>
      <c r="I4" s="445"/>
      <c r="J4" s="445"/>
      <c r="K4" s="445"/>
    </row>
    <row r="5" spans="1:13" ht="45" customHeight="1">
      <c r="A5" s="450"/>
      <c r="B5" s="450"/>
      <c r="C5" s="450"/>
      <c r="D5" s="368" t="s">
        <v>281</v>
      </c>
      <c r="E5" s="368" t="s">
        <v>282</v>
      </c>
      <c r="F5" s="368" t="s">
        <v>283</v>
      </c>
      <c r="G5" s="368" t="s">
        <v>285</v>
      </c>
      <c r="H5" s="368" t="s">
        <v>281</v>
      </c>
      <c r="I5" s="368" t="s">
        <v>282</v>
      </c>
      <c r="J5" s="368" t="s">
        <v>283</v>
      </c>
      <c r="K5" s="368" t="s">
        <v>285</v>
      </c>
      <c r="L5" s="371"/>
    </row>
    <row r="6" spans="1:13">
      <c r="A6" s="372">
        <v>1</v>
      </c>
      <c r="B6" s="372">
        <f>A6+1</f>
        <v>2</v>
      </c>
      <c r="C6" s="372">
        <f t="shared" ref="C6:K6" si="0">B6+1</f>
        <v>3</v>
      </c>
      <c r="D6" s="372">
        <f t="shared" si="0"/>
        <v>4</v>
      </c>
      <c r="E6" s="372">
        <f t="shared" si="0"/>
        <v>5</v>
      </c>
      <c r="F6" s="372">
        <f t="shared" si="0"/>
        <v>6</v>
      </c>
      <c r="G6" s="372">
        <f t="shared" si="0"/>
        <v>7</v>
      </c>
      <c r="H6" s="372">
        <f>G6+1</f>
        <v>8</v>
      </c>
      <c r="I6" s="372">
        <f t="shared" si="0"/>
        <v>9</v>
      </c>
      <c r="J6" s="372">
        <f t="shared" si="0"/>
        <v>10</v>
      </c>
      <c r="K6" s="372">
        <f t="shared" si="0"/>
        <v>11</v>
      </c>
    </row>
    <row r="7" spans="1:13">
      <c r="A7" s="447"/>
      <c r="B7" s="448"/>
      <c r="C7" s="448"/>
      <c r="D7" s="373">
        <f>'ін 1-4'!D7-18982.6</f>
        <v>5530.6999999999971</v>
      </c>
      <c r="E7" s="374">
        <f>'4 кв'!F32</f>
        <v>6923.2999999999993</v>
      </c>
      <c r="F7" s="375">
        <f>E7/D7*100</f>
        <v>125.17945287215004</v>
      </c>
      <c r="G7" s="374">
        <f>E7-D7</f>
        <v>1392.6000000000022</v>
      </c>
      <c r="H7" s="374">
        <f>'ін 1-4'!H7-16557.5</f>
        <v>5628.4605434000005</v>
      </c>
      <c r="I7" s="374">
        <f>'4 кв'!F48</f>
        <v>6003.2420000000011</v>
      </c>
      <c r="J7" s="375">
        <f>I7/H7*100</f>
        <v>106.6586849762938</v>
      </c>
      <c r="K7" s="374">
        <f>I7-H7</f>
        <v>374.78145660000064</v>
      </c>
    </row>
    <row r="8" spans="1:13" ht="19.5" customHeight="1">
      <c r="A8" s="447"/>
      <c r="B8" s="448"/>
      <c r="C8" s="448"/>
      <c r="D8" s="445" t="s">
        <v>286</v>
      </c>
      <c r="E8" s="445"/>
      <c r="F8" s="445"/>
      <c r="G8" s="445"/>
      <c r="H8" s="445" t="s">
        <v>287</v>
      </c>
      <c r="I8" s="445"/>
      <c r="J8" s="445"/>
      <c r="K8" s="445"/>
    </row>
    <row r="9" spans="1:13" ht="38.25">
      <c r="A9" s="447"/>
      <c r="B9" s="448"/>
      <c r="C9" s="448"/>
      <c r="D9" s="376" t="s">
        <v>281</v>
      </c>
      <c r="E9" s="376" t="s">
        <v>282</v>
      </c>
      <c r="F9" s="376" t="s">
        <v>283</v>
      </c>
      <c r="G9" s="376" t="s">
        <v>285</v>
      </c>
      <c r="H9" s="376" t="s">
        <v>281</v>
      </c>
      <c r="I9" s="376" t="s">
        <v>282</v>
      </c>
      <c r="J9" s="376" t="s">
        <v>283</v>
      </c>
      <c r="K9" s="376" t="s">
        <v>285</v>
      </c>
    </row>
    <row r="10" spans="1:13">
      <c r="A10" s="447"/>
      <c r="B10" s="448"/>
      <c r="C10" s="448"/>
      <c r="D10" s="372">
        <v>12</v>
      </c>
      <c r="E10" s="372">
        <f>D10+1</f>
        <v>13</v>
      </c>
      <c r="F10" s="372">
        <f t="shared" ref="F10:K10" si="1">E10+1</f>
        <v>14</v>
      </c>
      <c r="G10" s="372">
        <f t="shared" si="1"/>
        <v>15</v>
      </c>
      <c r="H10" s="372">
        <f t="shared" si="1"/>
        <v>16</v>
      </c>
      <c r="I10" s="372">
        <f t="shared" si="1"/>
        <v>17</v>
      </c>
      <c r="J10" s="372">
        <f t="shared" si="1"/>
        <v>18</v>
      </c>
      <c r="K10" s="372">
        <f t="shared" si="1"/>
        <v>19</v>
      </c>
    </row>
    <row r="11" spans="1:13">
      <c r="A11" s="447"/>
      <c r="B11" s="448"/>
      <c r="C11" s="448"/>
      <c r="D11" s="373">
        <f>'ін 1-4'!D11-10346.4</f>
        <v>3419.2000000000007</v>
      </c>
      <c r="E11" s="373">
        <f>'ін 1-4'!E11-10415</f>
        <v>3652.7999999999993</v>
      </c>
      <c r="F11" s="375">
        <f>E11/D11*100</f>
        <v>106.83200748713145</v>
      </c>
      <c r="G11" s="373">
        <f>E11-D11</f>
        <v>233.59999999999854</v>
      </c>
      <c r="H11" s="373">
        <f>'ін 1-4'!H11-2425.1</f>
        <v>-97.799999999999727</v>
      </c>
      <c r="I11" s="374">
        <f>'4 кв'!F92</f>
        <v>920.05799999999817</v>
      </c>
      <c r="J11" s="375">
        <f>I11/H11*100</f>
        <v>-940.75460122699474</v>
      </c>
      <c r="K11" s="374">
        <f>I11-H11</f>
        <v>1017.8579999999979</v>
      </c>
      <c r="M11" s="377"/>
    </row>
    <row r="12" spans="1:13" ht="31.5" customHeight="1">
      <c r="A12" s="447"/>
      <c r="B12" s="448"/>
      <c r="C12" s="448"/>
      <c r="D12" s="446" t="s">
        <v>288</v>
      </c>
      <c r="E12" s="446"/>
      <c r="F12" s="446"/>
      <c r="G12" s="446"/>
      <c r="H12" s="446" t="s">
        <v>289</v>
      </c>
      <c r="I12" s="446"/>
      <c r="J12" s="446"/>
      <c r="K12" s="446"/>
    </row>
    <row r="13" spans="1:13" ht="38.25">
      <c r="A13" s="447"/>
      <c r="B13" s="448"/>
      <c r="C13" s="448"/>
      <c r="D13" s="376" t="s">
        <v>281</v>
      </c>
      <c r="E13" s="376" t="s">
        <v>282</v>
      </c>
      <c r="F13" s="376" t="s">
        <v>283</v>
      </c>
      <c r="G13" s="376" t="s">
        <v>285</v>
      </c>
      <c r="H13" s="376" t="s">
        <v>281</v>
      </c>
      <c r="I13" s="376" t="s">
        <v>282</v>
      </c>
      <c r="J13" s="376" t="s">
        <v>283</v>
      </c>
      <c r="K13" s="376" t="s">
        <v>285</v>
      </c>
    </row>
    <row r="14" spans="1:13">
      <c r="A14" s="447"/>
      <c r="B14" s="448"/>
      <c r="C14" s="448"/>
      <c r="D14" s="372">
        <v>20</v>
      </c>
      <c r="E14" s="372">
        <f>D14+1</f>
        <v>21</v>
      </c>
      <c r="F14" s="372">
        <f t="shared" ref="F14:K14" si="2">E14+1</f>
        <v>22</v>
      </c>
      <c r="G14" s="372">
        <f t="shared" si="2"/>
        <v>23</v>
      </c>
      <c r="H14" s="372">
        <f t="shared" si="2"/>
        <v>24</v>
      </c>
      <c r="I14" s="372">
        <f t="shared" si="2"/>
        <v>25</v>
      </c>
      <c r="J14" s="372">
        <f t="shared" si="2"/>
        <v>26</v>
      </c>
      <c r="K14" s="372">
        <f t="shared" si="2"/>
        <v>27</v>
      </c>
    </row>
    <row r="15" spans="1:13">
      <c r="A15" s="447"/>
      <c r="B15" s="448"/>
      <c r="C15" s="448"/>
      <c r="D15" s="373"/>
      <c r="E15" s="373"/>
      <c r="F15" s="373"/>
      <c r="G15" s="373"/>
      <c r="H15" s="373"/>
      <c r="I15" s="373"/>
      <c r="J15" s="373"/>
      <c r="K15" s="373"/>
    </row>
    <row r="16" spans="1:13" ht="20.25" customHeight="1">
      <c r="A16" s="447"/>
      <c r="B16" s="448"/>
      <c r="C16" s="448"/>
      <c r="D16" s="445" t="s">
        <v>290</v>
      </c>
      <c r="E16" s="445"/>
      <c r="F16" s="445"/>
      <c r="G16" s="445"/>
      <c r="H16" s="445" t="s">
        <v>291</v>
      </c>
      <c r="I16" s="445"/>
      <c r="J16" s="445"/>
      <c r="K16" s="445"/>
    </row>
    <row r="17" spans="1:11" ht="43.5" customHeight="1">
      <c r="A17" s="447"/>
      <c r="B17" s="448"/>
      <c r="C17" s="448"/>
      <c r="D17" s="376" t="s">
        <v>281</v>
      </c>
      <c r="E17" s="376" t="s">
        <v>282</v>
      </c>
      <c r="F17" s="376" t="s">
        <v>283</v>
      </c>
      <c r="G17" s="376" t="s">
        <v>285</v>
      </c>
      <c r="H17" s="376" t="s">
        <v>281</v>
      </c>
      <c r="I17" s="376" t="s">
        <v>282</v>
      </c>
      <c r="J17" s="376" t="s">
        <v>283</v>
      </c>
      <c r="K17" s="376" t="s">
        <v>285</v>
      </c>
    </row>
    <row r="18" spans="1:11">
      <c r="A18" s="447"/>
      <c r="B18" s="448"/>
      <c r="C18" s="448"/>
      <c r="D18" s="372">
        <f>K14+1</f>
        <v>28</v>
      </c>
      <c r="E18" s="372">
        <f>D18+1</f>
        <v>29</v>
      </c>
      <c r="F18" s="372">
        <f t="shared" ref="F18:K18" si="3">E18+1</f>
        <v>30</v>
      </c>
      <c r="G18" s="372">
        <f t="shared" si="3"/>
        <v>31</v>
      </c>
      <c r="H18" s="372">
        <f t="shared" si="3"/>
        <v>32</v>
      </c>
      <c r="I18" s="372">
        <f t="shared" si="3"/>
        <v>33</v>
      </c>
      <c r="J18" s="372">
        <f t="shared" si="3"/>
        <v>34</v>
      </c>
      <c r="K18" s="372">
        <f t="shared" si="3"/>
        <v>35</v>
      </c>
    </row>
    <row r="19" spans="1:11">
      <c r="A19" s="447"/>
      <c r="B19" s="448"/>
      <c r="C19" s="448"/>
      <c r="D19" s="373">
        <v>107</v>
      </c>
      <c r="E19" s="373">
        <v>109</v>
      </c>
      <c r="F19" s="375">
        <f>E19/D19*100</f>
        <v>101.86915887850468</v>
      </c>
      <c r="G19" s="373">
        <f>E19-D19</f>
        <v>2</v>
      </c>
      <c r="H19" s="374">
        <f>11.5</f>
        <v>11.5</v>
      </c>
      <c r="I19" s="374">
        <f>'4 кв'!F173/1000</f>
        <v>12.037003058103975</v>
      </c>
      <c r="J19" s="374">
        <f>I19/H19*100</f>
        <v>104.66959180959978</v>
      </c>
      <c r="K19" s="374">
        <f>I19-H19</f>
        <v>0.53700305810397531</v>
      </c>
    </row>
    <row r="20" spans="1:11" ht="33" customHeight="1">
      <c r="A20" s="447"/>
      <c r="B20" s="448"/>
      <c r="C20" s="448"/>
      <c r="D20" s="444" t="s">
        <v>292</v>
      </c>
      <c r="E20" s="444"/>
      <c r="F20" s="444"/>
      <c r="G20" s="444"/>
      <c r="H20" s="444" t="s">
        <v>309</v>
      </c>
      <c r="I20" s="444"/>
      <c r="J20" s="444"/>
      <c r="K20" s="444"/>
    </row>
    <row r="21" spans="1:11" ht="42" customHeight="1">
      <c r="A21" s="447"/>
      <c r="B21" s="448"/>
      <c r="C21" s="448"/>
      <c r="D21" s="376" t="s">
        <v>281</v>
      </c>
      <c r="E21" s="376" t="s">
        <v>282</v>
      </c>
      <c r="F21" s="376" t="s">
        <v>283</v>
      </c>
      <c r="G21" s="376" t="s">
        <v>285</v>
      </c>
      <c r="H21" s="376" t="s">
        <v>310</v>
      </c>
      <c r="I21" s="376" t="s">
        <v>311</v>
      </c>
      <c r="J21" s="376" t="s">
        <v>283</v>
      </c>
      <c r="K21" s="376" t="s">
        <v>285</v>
      </c>
    </row>
    <row r="22" spans="1:11">
      <c r="A22" s="447"/>
      <c r="B22" s="448"/>
      <c r="C22" s="448"/>
      <c r="D22" s="372">
        <v>672</v>
      </c>
      <c r="E22" s="372">
        <f>'4 кв'!F100</f>
        <v>722.1</v>
      </c>
      <c r="F22" s="378">
        <f>E22/D22*100</f>
        <v>107.45535714285714</v>
      </c>
      <c r="G22" s="372">
        <f>E22-D22</f>
        <v>50.100000000000023</v>
      </c>
      <c r="H22" s="372" t="s">
        <v>320</v>
      </c>
      <c r="I22" s="372" t="s">
        <v>319</v>
      </c>
      <c r="J22" s="372" t="s">
        <v>321</v>
      </c>
      <c r="K22" s="379" t="s">
        <v>322</v>
      </c>
    </row>
    <row r="23" spans="1:11" ht="21.75" customHeight="1">
      <c r="A23" s="447"/>
      <c r="B23" s="448"/>
      <c r="C23" s="448"/>
      <c r="D23" s="444" t="s">
        <v>293</v>
      </c>
      <c r="E23" s="444"/>
      <c r="F23" s="444"/>
      <c r="G23" s="444"/>
      <c r="H23" s="444" t="s">
        <v>294</v>
      </c>
      <c r="I23" s="444"/>
      <c r="J23" s="444"/>
      <c r="K23" s="444"/>
    </row>
    <row r="24" spans="1:11" ht="43.5" customHeight="1">
      <c r="A24" s="447"/>
      <c r="B24" s="448"/>
      <c r="C24" s="448"/>
      <c r="D24" s="376" t="s">
        <v>281</v>
      </c>
      <c r="E24" s="376" t="s">
        <v>282</v>
      </c>
      <c r="F24" s="376" t="s">
        <v>283</v>
      </c>
      <c r="G24" s="376" t="s">
        <v>285</v>
      </c>
      <c r="H24" s="376" t="s">
        <v>281</v>
      </c>
      <c r="I24" s="376" t="s">
        <v>282</v>
      </c>
      <c r="J24" s="376" t="s">
        <v>283</v>
      </c>
      <c r="K24" s="376" t="s">
        <v>285</v>
      </c>
    </row>
    <row r="25" spans="1:11">
      <c r="A25" s="447"/>
      <c r="B25" s="448"/>
      <c r="C25" s="448"/>
      <c r="D25" s="373">
        <v>8043.1</v>
      </c>
      <c r="E25" s="373">
        <v>8178.9</v>
      </c>
      <c r="F25" s="375">
        <f>E25/D25*100</f>
        <v>101.68840372493193</v>
      </c>
      <c r="G25" s="373">
        <f>E25-D25</f>
        <v>135.79999999999927</v>
      </c>
      <c r="H25" s="373"/>
      <c r="I25" s="373"/>
      <c r="J25" s="373"/>
      <c r="K25" s="373"/>
    </row>
    <row r="26" spans="1:11" ht="21" customHeight="1">
      <c r="A26" s="447"/>
      <c r="B26" s="448"/>
      <c r="C26" s="448"/>
      <c r="D26" s="444" t="s">
        <v>295</v>
      </c>
      <c r="E26" s="444"/>
      <c r="F26" s="444"/>
      <c r="G26" s="444"/>
      <c r="H26" s="444" t="s">
        <v>296</v>
      </c>
      <c r="I26" s="444"/>
      <c r="J26" s="444"/>
      <c r="K26" s="444"/>
    </row>
    <row r="27" spans="1:11" ht="42.75" customHeight="1">
      <c r="A27" s="447"/>
      <c r="B27" s="448"/>
      <c r="C27" s="448"/>
      <c r="D27" s="376" t="s">
        <v>281</v>
      </c>
      <c r="E27" s="376" t="s">
        <v>282</v>
      </c>
      <c r="F27" s="376" t="s">
        <v>283</v>
      </c>
      <c r="G27" s="376" t="s">
        <v>285</v>
      </c>
      <c r="H27" s="376" t="s">
        <v>281</v>
      </c>
      <c r="I27" s="376" t="s">
        <v>282</v>
      </c>
      <c r="J27" s="376" t="s">
        <v>283</v>
      </c>
      <c r="K27" s="376" t="s">
        <v>285</v>
      </c>
    </row>
    <row r="28" spans="1:11">
      <c r="A28" s="447"/>
      <c r="B28" s="448"/>
      <c r="C28" s="448"/>
      <c r="D28" s="373">
        <v>2423.4</v>
      </c>
      <c r="E28" s="373">
        <v>2229.6</v>
      </c>
      <c r="F28" s="375">
        <f>E28/D28*100</f>
        <v>92.002971032433763</v>
      </c>
      <c r="G28" s="373">
        <f>E28-D28</f>
        <v>-193.80000000000018</v>
      </c>
      <c r="H28" s="373">
        <f>872.6+255.1</f>
        <v>1127.7</v>
      </c>
      <c r="I28" s="373">
        <f>5244.6+330.2</f>
        <v>5574.8</v>
      </c>
      <c r="J28" s="375">
        <f>I28/H28*100</f>
        <v>494.35133457479827</v>
      </c>
      <c r="K28" s="373">
        <f>I28-H28</f>
        <v>4447.1000000000004</v>
      </c>
    </row>
    <row r="29" spans="1:11" ht="54.75" customHeight="1"/>
    <row r="30" spans="1:11">
      <c r="D30" s="377" t="s">
        <v>252</v>
      </c>
      <c r="E30" s="377"/>
      <c r="F30" s="377"/>
      <c r="G30" s="377"/>
      <c r="H30" s="377"/>
      <c r="I30" s="377" t="s">
        <v>249</v>
      </c>
      <c r="J30" s="377"/>
    </row>
  </sheetData>
  <mergeCells count="21">
    <mergeCell ref="H20:K20"/>
    <mergeCell ref="H4:K4"/>
    <mergeCell ref="D12:G12"/>
    <mergeCell ref="H12:K12"/>
    <mergeCell ref="A7:A28"/>
    <mergeCell ref="B7:B28"/>
    <mergeCell ref="C7:C28"/>
    <mergeCell ref="D8:G8"/>
    <mergeCell ref="H8:K8"/>
    <mergeCell ref="D20:G20"/>
    <mergeCell ref="H16:K16"/>
    <mergeCell ref="D16:G16"/>
    <mergeCell ref="D23:G23"/>
    <mergeCell ref="H23:K23"/>
    <mergeCell ref="D26:G26"/>
    <mergeCell ref="H26:K26"/>
    <mergeCell ref="A2:K2"/>
    <mergeCell ref="A4:A5"/>
    <mergeCell ref="B4:B5"/>
    <mergeCell ref="C4:C5"/>
    <mergeCell ref="D4:G4"/>
  </mergeCells>
  <pageMargins left="0" right="0" top="0" bottom="0"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8</vt:i4>
      </vt:variant>
      <vt:variant>
        <vt:lpstr>Именованные диапазоны</vt:lpstr>
      </vt:variant>
      <vt:variant>
        <vt:i4>4</vt:i4>
      </vt:variant>
    </vt:vector>
  </HeadingPairs>
  <TitlesOfParts>
    <vt:vector size="12" baseType="lpstr">
      <vt:lpstr>план</vt:lpstr>
      <vt:lpstr>1 кв</vt:lpstr>
      <vt:lpstr>2023</vt:lpstr>
      <vt:lpstr>2 кв</vt:lpstr>
      <vt:lpstr>3 кв</vt:lpstr>
      <vt:lpstr>4 кв</vt:lpstr>
      <vt:lpstr>ін 1-4</vt:lpstr>
      <vt:lpstr>ін 4 </vt:lpstr>
      <vt:lpstr>'1 кв'!Заголовки_для_печати</vt:lpstr>
      <vt:lpstr>'2 кв'!Заголовки_для_печати</vt:lpstr>
      <vt:lpstr>'3 кв'!Заголовки_для_печати</vt:lpstr>
      <vt:lpstr>'4 кв'!Заголовки_для_печати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2025-01-29T12:30:36Z</cp:lastPrinted>
  <dcterms:created xsi:type="dcterms:W3CDTF">2022-06-08T05:31:49Z</dcterms:created>
  <dcterms:modified xsi:type="dcterms:W3CDTF">2025-03-06T09:55:46Z</dcterms:modified>
</cp:coreProperties>
</file>